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 firstSheet="1" activeTab="4"/>
  </bookViews>
  <sheets>
    <sheet name="Пример расчета" sheetId="1" state="hidden" r:id="rId1"/>
    <sheet name="ФОТ" sheetId="3" r:id="rId2"/>
    <sheet name="Управление" sheetId="8" r:id="rId3"/>
    <sheet name="Основные характеристики" sheetId="4" r:id="rId4"/>
    <sheet name="расчет" sheetId="5" r:id="rId5"/>
    <sheet name="АДС" sheetId="6" r:id="rId6"/>
    <sheet name="Сводная" sheetId="7" r:id="rId7"/>
  </sheets>
  <definedNames>
    <definedName name="_xlnm.Print_Titles" localSheetId="0">'Пример расчета'!$A:$AB</definedName>
    <definedName name="_xlnm.Print_Area" localSheetId="0">'Пример расчета'!$A$1:$AH$140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4" i="5" l="1"/>
  <c r="S25" i="5" l="1"/>
  <c r="T25" i="5"/>
  <c r="G7" i="8" l="1"/>
  <c r="E9" i="7" l="1"/>
  <c r="G14" i="5" l="1"/>
  <c r="I14" i="5" s="1"/>
  <c r="G27" i="5" l="1"/>
  <c r="I27" i="5" s="1"/>
  <c r="G8" i="5" l="1"/>
  <c r="U9" i="5" l="1"/>
  <c r="U10" i="5"/>
  <c r="U11" i="5"/>
  <c r="U12" i="5"/>
  <c r="U15" i="5"/>
  <c r="E23" i="5" l="1"/>
  <c r="E24" i="5"/>
  <c r="L23" i="5" l="1"/>
  <c r="L24" i="5" s="1"/>
  <c r="G24" i="5"/>
  <c r="I24" i="5" s="1"/>
  <c r="G23" i="5"/>
  <c r="I23" i="5" s="1"/>
  <c r="G8" i="8" l="1"/>
  <c r="I8" i="8" s="1"/>
  <c r="K8" i="8" s="1"/>
  <c r="G9" i="8"/>
  <c r="I9" i="8" s="1"/>
  <c r="K9" i="8" s="1"/>
  <c r="G10" i="8"/>
  <c r="I10" i="8" s="1"/>
  <c r="K10" i="8" s="1"/>
  <c r="G11" i="8"/>
  <c r="I11" i="8" s="1"/>
  <c r="K11" i="8" s="1"/>
  <c r="G12" i="8"/>
  <c r="I12" i="8" s="1"/>
  <c r="K12" i="8" s="1"/>
  <c r="G13" i="8"/>
  <c r="I13" i="8" s="1"/>
  <c r="K13" i="8" s="1"/>
  <c r="I7" i="8"/>
  <c r="K7" i="8" s="1"/>
  <c r="F11" i="6" l="1"/>
  <c r="F10" i="6"/>
  <c r="H10" i="6" s="1"/>
  <c r="F9" i="6"/>
  <c r="F8" i="6"/>
  <c r="F7" i="6"/>
  <c r="H7" i="6" s="1"/>
  <c r="E22" i="5"/>
  <c r="G22" i="5" s="1"/>
  <c r="I22" i="5" s="1"/>
  <c r="E20" i="5"/>
  <c r="G20" i="5" s="1"/>
  <c r="I20" i="5" s="1"/>
  <c r="G21" i="5"/>
  <c r="I21" i="5" s="1"/>
  <c r="E19" i="5"/>
  <c r="G19" i="5" s="1"/>
  <c r="I19" i="5" s="1"/>
  <c r="L18" i="5"/>
  <c r="L19" i="5" s="1"/>
  <c r="L20" i="5" s="1"/>
  <c r="L22" i="5" s="1"/>
  <c r="E18" i="5"/>
  <c r="G18" i="5" s="1"/>
  <c r="I18" i="5" s="1"/>
  <c r="G17" i="5"/>
  <c r="I17" i="5" s="1"/>
  <c r="I8" i="5"/>
  <c r="M8" i="5" s="1"/>
  <c r="N8" i="5" s="1"/>
  <c r="G10" i="3"/>
  <c r="I10" i="3" s="1"/>
  <c r="J10" i="3" s="1"/>
  <c r="K10" i="3" s="1"/>
  <c r="G9" i="3"/>
  <c r="I9" i="3" s="1"/>
  <c r="J9" i="3" s="1"/>
  <c r="K9" i="3" s="1"/>
  <c r="M27" i="5" s="1"/>
  <c r="G8" i="3"/>
  <c r="I8" i="3" s="1"/>
  <c r="J8" i="3" s="1"/>
  <c r="K8" i="3" s="1"/>
  <c r="M7" i="8" s="1"/>
  <c r="G7" i="3"/>
  <c r="I7" i="3" s="1"/>
  <c r="J7" i="3" s="1"/>
  <c r="K7" i="3" s="1"/>
  <c r="G6" i="3"/>
  <c r="I6" i="3" s="1"/>
  <c r="J6" i="3" s="1"/>
  <c r="K6" i="3" s="1"/>
  <c r="G5" i="3"/>
  <c r="J16" i="5" s="1"/>
  <c r="J17" i="5" s="1"/>
  <c r="J18" i="5" s="1"/>
  <c r="J19" i="5" s="1"/>
  <c r="J20" i="5" s="1"/>
  <c r="J21" i="5" s="1"/>
  <c r="J22" i="5" s="1"/>
  <c r="J23" i="5" s="1"/>
  <c r="J24" i="5" s="1"/>
  <c r="M14" i="5" l="1"/>
  <c r="P14" i="5" s="1"/>
  <c r="J8" i="6"/>
  <c r="M9" i="8"/>
  <c r="M11" i="8"/>
  <c r="M12" i="8"/>
  <c r="M10" i="8"/>
  <c r="J7" i="6"/>
  <c r="M8" i="8"/>
  <c r="N14" i="5"/>
  <c r="O14" i="5"/>
  <c r="N27" i="5"/>
  <c r="P27" i="5"/>
  <c r="O27" i="5"/>
  <c r="Q27" i="5"/>
  <c r="F14" i="6"/>
  <c r="K14" i="6" s="1"/>
  <c r="M23" i="5"/>
  <c r="M24" i="5"/>
  <c r="M19" i="5"/>
  <c r="N19" i="5" s="1"/>
  <c r="M18" i="5"/>
  <c r="P18" i="5" s="1"/>
  <c r="M21" i="5"/>
  <c r="P21" i="5" s="1"/>
  <c r="M20" i="5"/>
  <c r="P20" i="5" s="1"/>
  <c r="H9" i="6"/>
  <c r="I5" i="3"/>
  <c r="J5" i="3" s="1"/>
  <c r="K5" i="3" s="1"/>
  <c r="M22" i="5"/>
  <c r="P22" i="5" s="1"/>
  <c r="K7" i="6"/>
  <c r="M17" i="5"/>
  <c r="P17" i="5" s="1"/>
  <c r="O8" i="5"/>
  <c r="G16" i="5"/>
  <c r="I16" i="5" s="1"/>
  <c r="H11" i="6"/>
  <c r="H8" i="6"/>
  <c r="P8" i="5"/>
  <c r="Q134" i="1"/>
  <c r="AD92" i="1"/>
  <c r="AG137" i="1"/>
  <c r="AH137" i="1" s="1"/>
  <c r="AF137" i="1" s="1"/>
  <c r="AH90" i="1"/>
  <c r="AG90" i="1" s="1"/>
  <c r="AG12" i="1"/>
  <c r="AG8" i="1"/>
  <c r="Q14" i="5" l="1"/>
  <c r="S14" i="5" s="1"/>
  <c r="T14" i="5" s="1"/>
  <c r="E5" i="7" s="1"/>
  <c r="K8" i="6"/>
  <c r="K9" i="6"/>
  <c r="K11" i="6"/>
  <c r="N7" i="8"/>
  <c r="M13" i="8"/>
  <c r="N13" i="8" s="1"/>
  <c r="O22" i="5"/>
  <c r="S27" i="5"/>
  <c r="R27" i="5" s="1"/>
  <c r="T27" i="5" s="1"/>
  <c r="U27" i="5" s="1"/>
  <c r="V27" i="5" s="1"/>
  <c r="W27" i="5" s="1"/>
  <c r="K10" i="6"/>
  <c r="M16" i="5"/>
  <c r="P16" i="5" s="1"/>
  <c r="P19" i="5"/>
  <c r="Q24" i="5"/>
  <c r="Q23" i="5"/>
  <c r="O19" i="5"/>
  <c r="N22" i="5"/>
  <c r="O21" i="5"/>
  <c r="O20" i="5"/>
  <c r="N20" i="5"/>
  <c r="N17" i="5"/>
  <c r="O17" i="5"/>
  <c r="N18" i="5"/>
  <c r="O18" i="5"/>
  <c r="N21" i="5"/>
  <c r="O24" i="5"/>
  <c r="N24" i="5"/>
  <c r="P24" i="5"/>
  <c r="N9" i="8"/>
  <c r="N10" i="8"/>
  <c r="N11" i="8"/>
  <c r="N12" i="8"/>
  <c r="O23" i="5"/>
  <c r="P23" i="5"/>
  <c r="N23" i="5"/>
  <c r="S8" i="5"/>
  <c r="D4" i="7" s="1"/>
  <c r="AG16" i="1"/>
  <c r="AF90" i="1"/>
  <c r="AG9" i="1"/>
  <c r="N8" i="8" l="1"/>
  <c r="N6" i="8" s="1"/>
  <c r="N16" i="8" s="1"/>
  <c r="S22" i="5"/>
  <c r="R22" i="5" s="1"/>
  <c r="T22" i="5" s="1"/>
  <c r="U22" i="5" s="1"/>
  <c r="V22" i="5" s="1"/>
  <c r="W22" i="5" s="1"/>
  <c r="O16" i="5"/>
  <c r="S19" i="5"/>
  <c r="R19" i="5" s="1"/>
  <c r="T19" i="5" s="1"/>
  <c r="U19" i="5" s="1"/>
  <c r="V19" i="5" s="1"/>
  <c r="W19" i="5" s="1"/>
  <c r="N16" i="5"/>
  <c r="S18" i="5"/>
  <c r="R18" i="5" s="1"/>
  <c r="T18" i="5" s="1"/>
  <c r="U18" i="5" s="1"/>
  <c r="V18" i="5" s="1"/>
  <c r="W18" i="5" s="1"/>
  <c r="K6" i="6"/>
  <c r="K15" i="6" s="1"/>
  <c r="S23" i="5"/>
  <c r="R23" i="5" s="1"/>
  <c r="T23" i="5" s="1"/>
  <c r="U23" i="5" s="1"/>
  <c r="V23" i="5" s="1"/>
  <c r="W23" i="5" s="1"/>
  <c r="S17" i="5"/>
  <c r="R17" i="5" s="1"/>
  <c r="T17" i="5" s="1"/>
  <c r="U17" i="5" s="1"/>
  <c r="V17" i="5" s="1"/>
  <c r="W17" i="5" s="1"/>
  <c r="S24" i="5"/>
  <c r="R24" i="5" s="1"/>
  <c r="T24" i="5" s="1"/>
  <c r="U24" i="5" s="1"/>
  <c r="V24" i="5" s="1"/>
  <c r="W24" i="5" s="1"/>
  <c r="S20" i="5"/>
  <c r="R20" i="5" s="1"/>
  <c r="T20" i="5" s="1"/>
  <c r="U20" i="5" s="1"/>
  <c r="V20" i="5" s="1"/>
  <c r="W20" i="5" s="1"/>
  <c r="S21" i="5"/>
  <c r="R21" i="5" s="1"/>
  <c r="T21" i="5" s="1"/>
  <c r="U21" i="5" s="1"/>
  <c r="V21" i="5" s="1"/>
  <c r="W21" i="5" s="1"/>
  <c r="R8" i="5"/>
  <c r="T8" i="5" s="1"/>
  <c r="E4" i="7" s="1"/>
  <c r="N131" i="1"/>
  <c r="S16" i="5" l="1"/>
  <c r="R16" i="5" s="1"/>
  <c r="K12" i="6"/>
  <c r="K13" i="6"/>
  <c r="K16" i="6"/>
  <c r="N14" i="8"/>
  <c r="N17" i="8"/>
  <c r="E8" i="7"/>
  <c r="U8" i="5"/>
  <c r="V8" i="5" s="1"/>
  <c r="W8" i="5" s="1"/>
  <c r="AD6" i="1"/>
  <c r="T16" i="5" l="1"/>
  <c r="U16" i="5" s="1"/>
  <c r="V16" i="5" s="1"/>
  <c r="W16" i="5" s="1"/>
  <c r="D6" i="7"/>
  <c r="K17" i="6"/>
  <c r="K19" i="6" s="1"/>
  <c r="K20" i="6" s="1"/>
  <c r="E7" i="7" s="1"/>
  <c r="N18" i="8"/>
  <c r="N19" i="8" s="1"/>
  <c r="T29" i="5"/>
  <c r="E12" i="7"/>
  <c r="E6" i="7"/>
  <c r="AD17" i="1"/>
  <c r="T31" i="5" l="1"/>
  <c r="O18" i="8"/>
  <c r="N20" i="8"/>
  <c r="N22" i="8" s="1"/>
  <c r="E11" i="7" s="1"/>
  <c r="E13" i="7" s="1"/>
  <c r="AD89" i="1"/>
  <c r="AE89" i="1" l="1"/>
  <c r="AC89" i="1" s="1"/>
  <c r="N132" i="1"/>
  <c r="L132" i="1"/>
  <c r="K132" i="1"/>
  <c r="E131" i="1"/>
  <c r="G131" i="1" s="1"/>
  <c r="G120" i="1"/>
  <c r="I129" i="1"/>
  <c r="K129" i="1" s="1"/>
  <c r="G129" i="1"/>
  <c r="N124" i="1"/>
  <c r="M41" i="1"/>
  <c r="Q41" i="1" s="1"/>
  <c r="R41" i="1"/>
  <c r="V41" i="1" s="1"/>
  <c r="M54" i="1"/>
  <c r="Q54" i="1" s="1"/>
  <c r="R54" i="1"/>
  <c r="V54" i="1" s="1"/>
  <c r="M60" i="1"/>
  <c r="Q60" i="1" s="1"/>
  <c r="R60" i="1"/>
  <c r="V60" i="1" s="1"/>
  <c r="M63" i="1"/>
  <c r="Q63" i="1" s="1"/>
  <c r="R63" i="1"/>
  <c r="V63" i="1" s="1"/>
  <c r="M79" i="1"/>
  <c r="Q79" i="1" s="1"/>
  <c r="R79" i="1"/>
  <c r="V79" i="1" s="1"/>
  <c r="M85" i="1"/>
  <c r="Q85" i="1" s="1"/>
  <c r="R85" i="1"/>
  <c r="V85" i="1" s="1"/>
  <c r="M89" i="1"/>
  <c r="Q89" i="1" s="1"/>
  <c r="R89" i="1"/>
  <c r="V89" i="1" s="1"/>
  <c r="M92" i="1"/>
  <c r="Q92" i="1" s="1"/>
  <c r="R92" i="1"/>
  <c r="V92" i="1" s="1"/>
  <c r="M94" i="1"/>
  <c r="Q94" i="1" s="1"/>
  <c r="R94" i="1"/>
  <c r="V94" i="1" s="1"/>
  <c r="M97" i="1"/>
  <c r="Q97" i="1" s="1"/>
  <c r="R97" i="1"/>
  <c r="V97" i="1" s="1"/>
  <c r="K100" i="1"/>
  <c r="O100" i="1" s="1"/>
  <c r="AA100" i="1" s="1"/>
  <c r="AB100" i="1" s="1"/>
  <c r="AH100" i="1" s="1"/>
  <c r="G106" i="1"/>
  <c r="I106" i="1"/>
  <c r="K106" i="1" s="1"/>
  <c r="P106" i="1"/>
  <c r="R106" i="1"/>
  <c r="V106" i="1" s="1"/>
  <c r="G107" i="1"/>
  <c r="K107" i="1"/>
  <c r="P107" i="1"/>
  <c r="R107" i="1"/>
  <c r="V107" i="1" s="1"/>
  <c r="G108" i="1"/>
  <c r="I108" i="1"/>
  <c r="K108" i="1" s="1"/>
  <c r="P108" i="1"/>
  <c r="R108" i="1"/>
  <c r="V108" i="1" s="1"/>
  <c r="G109" i="1"/>
  <c r="K109" i="1"/>
  <c r="P109" i="1"/>
  <c r="R109" i="1"/>
  <c r="V109" i="1" s="1"/>
  <c r="G110" i="1"/>
  <c r="I110" i="1"/>
  <c r="K110" i="1" s="1"/>
  <c r="P110" i="1"/>
  <c r="R110" i="1"/>
  <c r="V110" i="1" s="1"/>
  <c r="G111" i="1"/>
  <c r="I111" i="1"/>
  <c r="K111" i="1" s="1"/>
  <c r="P111" i="1"/>
  <c r="R111" i="1"/>
  <c r="V111" i="1" s="1"/>
  <c r="F112" i="1"/>
  <c r="G112" i="1" s="1"/>
  <c r="K112" i="1"/>
  <c r="P112" i="1"/>
  <c r="R112" i="1"/>
  <c r="V112" i="1" s="1"/>
  <c r="F113" i="1"/>
  <c r="G113" i="1" s="1"/>
  <c r="K113" i="1"/>
  <c r="P113" i="1"/>
  <c r="R113" i="1"/>
  <c r="V113" i="1" s="1"/>
  <c r="F114" i="1"/>
  <c r="K114" i="1"/>
  <c r="P114" i="1"/>
  <c r="R114" i="1"/>
  <c r="V114" i="1" s="1"/>
  <c r="F115" i="1"/>
  <c r="G115" i="1" s="1"/>
  <c r="K115" i="1"/>
  <c r="P115" i="1"/>
  <c r="R115" i="1"/>
  <c r="V115" i="1" s="1"/>
  <c r="N118" i="1"/>
  <c r="K118" i="1"/>
  <c r="I120" i="1"/>
  <c r="K120" i="1" s="1"/>
  <c r="P120" i="1"/>
  <c r="R120" i="1"/>
  <c r="V120" i="1" s="1"/>
  <c r="G121" i="1"/>
  <c r="I121" i="1"/>
  <c r="K121" i="1" s="1"/>
  <c r="P121" i="1"/>
  <c r="R121" i="1"/>
  <c r="V121" i="1" s="1"/>
  <c r="G122" i="1"/>
  <c r="I122" i="1"/>
  <c r="K122" i="1" s="1"/>
  <c r="P122" i="1"/>
  <c r="R122" i="1"/>
  <c r="V122" i="1" s="1"/>
  <c r="G123" i="1"/>
  <c r="I123" i="1"/>
  <c r="K123" i="1" s="1"/>
  <c r="P123" i="1"/>
  <c r="R123" i="1"/>
  <c r="V123" i="1" s="1"/>
  <c r="E124" i="1"/>
  <c r="G124" i="1" s="1"/>
  <c r="K124" i="1"/>
  <c r="E125" i="1"/>
  <c r="G125" i="1" s="1"/>
  <c r="K125" i="1"/>
  <c r="P125" i="1"/>
  <c r="R125" i="1"/>
  <c r="V125" i="1" s="1"/>
  <c r="G126" i="1"/>
  <c r="K126" i="1"/>
  <c r="P126" i="1"/>
  <c r="R126" i="1"/>
  <c r="V126" i="1" s="1"/>
  <c r="G127" i="1"/>
  <c r="I127" i="1"/>
  <c r="K127" i="1" s="1"/>
  <c r="P127" i="1"/>
  <c r="R127" i="1"/>
  <c r="V127" i="1" s="1"/>
  <c r="G128" i="1"/>
  <c r="K128" i="1"/>
  <c r="P128" i="1"/>
  <c r="R128" i="1"/>
  <c r="V128" i="1" s="1"/>
  <c r="P129" i="1"/>
  <c r="R129" i="1"/>
  <c r="V129" i="1" s="1"/>
  <c r="R134" i="1"/>
  <c r="V134" i="1" s="1"/>
  <c r="Q137" i="1"/>
  <c r="R137" i="1"/>
  <c r="V137" i="1" s="1"/>
  <c r="Q138" i="1"/>
  <c r="R138" i="1"/>
  <c r="V138" i="1" s="1"/>
  <c r="Q139" i="1"/>
  <c r="V139" i="1"/>
  <c r="E93" i="1"/>
  <c r="G93" i="1" s="1"/>
  <c r="K93" i="1"/>
  <c r="M65" i="1"/>
  <c r="Q65" i="1" s="1"/>
  <c r="R65" i="1"/>
  <c r="V65" i="1" s="1"/>
  <c r="M69" i="1"/>
  <c r="Q69" i="1" s="1"/>
  <c r="R69" i="1"/>
  <c r="V69" i="1" s="1"/>
  <c r="M72" i="1"/>
  <c r="Q72" i="1" s="1"/>
  <c r="R72" i="1"/>
  <c r="V72" i="1" s="1"/>
  <c r="M76" i="1"/>
  <c r="Q76" i="1" s="1"/>
  <c r="R76" i="1"/>
  <c r="V76" i="1" s="1"/>
  <c r="Q135" i="1"/>
  <c r="R135" i="1"/>
  <c r="V135" i="1" s="1"/>
  <c r="Q136" i="1"/>
  <c r="R136" i="1"/>
  <c r="V136" i="1" s="1"/>
  <c r="K90" i="1"/>
  <c r="O90" i="1" s="1"/>
  <c r="AB90" i="1" s="1"/>
  <c r="AE90" i="1" s="1"/>
  <c r="AD65" i="1"/>
  <c r="AE65" i="1" s="1"/>
  <c r="AC65" i="1" s="1"/>
  <c r="AD69" i="1"/>
  <c r="AE69" i="1" s="1"/>
  <c r="AC69" i="1" s="1"/>
  <c r="AD72" i="1"/>
  <c r="AE72" i="1" s="1"/>
  <c r="AC72" i="1" s="1"/>
  <c r="AD76" i="1"/>
  <c r="AE76" i="1" s="1"/>
  <c r="AC76" i="1" s="1"/>
  <c r="AE92" i="1"/>
  <c r="AD8" i="1"/>
  <c r="AD12" i="1"/>
  <c r="AD16" i="1"/>
  <c r="AD135" i="1"/>
  <c r="AE135" i="1" s="1"/>
  <c r="AC135" i="1" s="1"/>
  <c r="AD136" i="1"/>
  <c r="AE136" i="1" s="1"/>
  <c r="AC136" i="1" s="1"/>
  <c r="AD137" i="1"/>
  <c r="AE137" i="1" s="1"/>
  <c r="AC137" i="1" s="1"/>
  <c r="AB91" i="1"/>
  <c r="M102" i="1"/>
  <c r="Q102" i="1" s="1"/>
  <c r="R102" i="1"/>
  <c r="V102" i="1" s="1"/>
  <c r="Q103" i="1"/>
  <c r="R103" i="1"/>
  <c r="V103" i="1" s="1"/>
  <c r="P139" i="1"/>
  <c r="R133" i="1"/>
  <c r="AB133" i="1"/>
  <c r="R42" i="1"/>
  <c r="AB42" i="1"/>
  <c r="R45" i="1"/>
  <c r="AB45" i="1"/>
  <c r="R48" i="1"/>
  <c r="AB48" i="1"/>
  <c r="R49" i="1"/>
  <c r="AB49" i="1"/>
  <c r="R50" i="1"/>
  <c r="AB50" i="1"/>
  <c r="R51" i="1"/>
  <c r="AB51" i="1"/>
  <c r="R61" i="1"/>
  <c r="AB61" i="1"/>
  <c r="R66" i="1"/>
  <c r="AB66" i="1"/>
  <c r="R68" i="1"/>
  <c r="AB68" i="1"/>
  <c r="R73" i="1"/>
  <c r="AB73" i="1"/>
  <c r="R75" i="1"/>
  <c r="AB75" i="1"/>
  <c r="R80" i="1"/>
  <c r="AB80" i="1"/>
  <c r="R82" i="1"/>
  <c r="AB82" i="1"/>
  <c r="R88" i="1"/>
  <c r="AB88" i="1"/>
  <c r="R90" i="1"/>
  <c r="R95" i="1"/>
  <c r="AB95" i="1"/>
  <c r="R96" i="1"/>
  <c r="AB96" i="1"/>
  <c r="R99" i="1"/>
  <c r="R100" i="1"/>
  <c r="R101" i="1"/>
  <c r="R91" i="1"/>
  <c r="V91" i="1" s="1"/>
  <c r="F116" i="1"/>
  <c r="G116" i="1" s="1"/>
  <c r="K116" i="1"/>
  <c r="P116" i="1"/>
  <c r="R116" i="1"/>
  <c r="V116" i="1" s="1"/>
  <c r="R117" i="1"/>
  <c r="AB117" i="1"/>
  <c r="R118" i="1"/>
  <c r="R119" i="1"/>
  <c r="AB119" i="1"/>
  <c r="R124" i="1"/>
  <c r="AB130" i="1"/>
  <c r="R131" i="1"/>
  <c r="AA41" i="1" l="1"/>
  <c r="AC90" i="1"/>
  <c r="AD90" i="1"/>
  <c r="AD88" i="1" s="1"/>
  <c r="AF100" i="1"/>
  <c r="AH99" i="1"/>
  <c r="O132" i="1"/>
  <c r="AA132" i="1" s="1"/>
  <c r="AA137" i="1"/>
  <c r="AB137" i="1" s="1"/>
  <c r="L126" i="1"/>
  <c r="Q126" i="1" s="1"/>
  <c r="AA126" i="1" s="1"/>
  <c r="AB126" i="1" s="1"/>
  <c r="AH126" i="1" s="1"/>
  <c r="L121" i="1"/>
  <c r="Q121" i="1" s="1"/>
  <c r="AA121" i="1" s="1"/>
  <c r="AB121" i="1" s="1"/>
  <c r="AH121" i="1" s="1"/>
  <c r="L131" i="1"/>
  <c r="O131" i="1" s="1"/>
  <c r="AA131" i="1" s="1"/>
  <c r="AB131" i="1" s="1"/>
  <c r="AH131" i="1" s="1"/>
  <c r="AA103" i="1"/>
  <c r="AB103" i="1" s="1"/>
  <c r="L108" i="1"/>
  <c r="Q108" i="1" s="1"/>
  <c r="AA108" i="1" s="1"/>
  <c r="AB108" i="1" s="1"/>
  <c r="AH108" i="1" s="1"/>
  <c r="AA102" i="1"/>
  <c r="AB102" i="1" s="1"/>
  <c r="AA76" i="1"/>
  <c r="AB76" i="1" s="1"/>
  <c r="AG76" i="1" s="1"/>
  <c r="AH76" i="1" s="1"/>
  <c r="AF76" i="1" s="1"/>
  <c r="L120" i="1"/>
  <c r="Q120" i="1" s="1"/>
  <c r="AA120" i="1" s="1"/>
  <c r="AB120" i="1" s="1"/>
  <c r="AH120" i="1" s="1"/>
  <c r="L109" i="1"/>
  <c r="Q109" i="1" s="1"/>
  <c r="AA109" i="1" s="1"/>
  <c r="AB109" i="1" s="1"/>
  <c r="AH109" i="1" s="1"/>
  <c r="AA72" i="1"/>
  <c r="AB72" i="1" s="1"/>
  <c r="AG72" i="1" s="1"/>
  <c r="AH72" i="1" s="1"/>
  <c r="AF72" i="1" s="1"/>
  <c r="AA85" i="1"/>
  <c r="AB85" i="1" s="1"/>
  <c r="AG85" i="1" s="1"/>
  <c r="AH85" i="1" s="1"/>
  <c r="AF85" i="1" s="1"/>
  <c r="L106" i="1"/>
  <c r="Q106" i="1" s="1"/>
  <c r="AA106" i="1" s="1"/>
  <c r="AB106" i="1" s="1"/>
  <c r="AH106" i="1" s="1"/>
  <c r="AA136" i="1"/>
  <c r="AB136" i="1" s="1"/>
  <c r="AG136" i="1" s="1"/>
  <c r="AH136" i="1" s="1"/>
  <c r="AF136" i="1" s="1"/>
  <c r="AA134" i="1"/>
  <c r="AB134" i="1" s="1"/>
  <c r="AG134" i="1" s="1"/>
  <c r="L129" i="1"/>
  <c r="Q129" i="1" s="1"/>
  <c r="AA129" i="1" s="1"/>
  <c r="AB129" i="1" s="1"/>
  <c r="AH129" i="1" s="1"/>
  <c r="L128" i="1"/>
  <c r="Q128" i="1" s="1"/>
  <c r="AA128" i="1" s="1"/>
  <c r="AB128" i="1" s="1"/>
  <c r="AH128" i="1" s="1"/>
  <c r="L127" i="1"/>
  <c r="Q127" i="1" s="1"/>
  <c r="AA127" i="1" s="1"/>
  <c r="AB127" i="1" s="1"/>
  <c r="AH127" i="1" s="1"/>
  <c r="L110" i="1"/>
  <c r="Q110" i="1" s="1"/>
  <c r="AA110" i="1" s="1"/>
  <c r="AB110" i="1" s="1"/>
  <c r="AH110" i="1" s="1"/>
  <c r="AA94" i="1"/>
  <c r="AB94" i="1" s="1"/>
  <c r="AG94" i="1" s="1"/>
  <c r="AH94" i="1" s="1"/>
  <c r="AF94" i="1" s="1"/>
  <c r="L93" i="1"/>
  <c r="O93" i="1" s="1"/>
  <c r="AA93" i="1" s="1"/>
  <c r="AB93" i="1" s="1"/>
  <c r="AH93" i="1" s="1"/>
  <c r="L124" i="1"/>
  <c r="O124" i="1" s="1"/>
  <c r="AA124" i="1" s="1"/>
  <c r="AB124" i="1" s="1"/>
  <c r="AH124" i="1" s="1"/>
  <c r="O118" i="1"/>
  <c r="AA118" i="1" s="1"/>
  <c r="AB118" i="1" s="1"/>
  <c r="AH118" i="1" s="1"/>
  <c r="L115" i="1"/>
  <c r="Q115" i="1" s="1"/>
  <c r="AA115" i="1" s="1"/>
  <c r="AB115" i="1" s="1"/>
  <c r="AH115" i="1" s="1"/>
  <c r="L112" i="1"/>
  <c r="Q112" i="1" s="1"/>
  <c r="AA112" i="1" s="1"/>
  <c r="AB112" i="1" s="1"/>
  <c r="AH112" i="1" s="1"/>
  <c r="AA89" i="1"/>
  <c r="AB89" i="1" s="1"/>
  <c r="AG89" i="1" s="1"/>
  <c r="AA65" i="1"/>
  <c r="AB65" i="1" s="1"/>
  <c r="AG65" i="1" s="1"/>
  <c r="AH65" i="1" s="1"/>
  <c r="AF65" i="1" s="1"/>
  <c r="AA138" i="1"/>
  <c r="AB138" i="1" s="1"/>
  <c r="AG138" i="1" s="1"/>
  <c r="AH138" i="1" s="1"/>
  <c r="AF138" i="1" s="1"/>
  <c r="L125" i="1"/>
  <c r="Q125" i="1" s="1"/>
  <c r="AA125" i="1" s="1"/>
  <c r="AB125" i="1" s="1"/>
  <c r="AH125" i="1" s="1"/>
  <c r="AA92" i="1"/>
  <c r="AB92" i="1" s="1"/>
  <c r="AA79" i="1"/>
  <c r="AB79" i="1" s="1"/>
  <c r="AG79" i="1" s="1"/>
  <c r="AH79" i="1" s="1"/>
  <c r="AF79" i="1" s="1"/>
  <c r="AA63" i="1"/>
  <c r="AB63" i="1" s="1"/>
  <c r="AA54" i="1"/>
  <c r="AB54" i="1" s="1"/>
  <c r="AG54" i="1" s="1"/>
  <c r="AH54" i="1" s="1"/>
  <c r="AF54" i="1" s="1"/>
  <c r="G114" i="1"/>
  <c r="L114" i="1" s="1"/>
  <c r="Q114" i="1" s="1"/>
  <c r="AA114" i="1" s="1"/>
  <c r="AB114" i="1" s="1"/>
  <c r="AH114" i="1" s="1"/>
  <c r="AA60" i="1"/>
  <c r="AB60" i="1" s="1"/>
  <c r="AA135" i="1"/>
  <c r="AB135" i="1" s="1"/>
  <c r="AG135" i="1" s="1"/>
  <c r="AH135" i="1" s="1"/>
  <c r="AF135" i="1" s="1"/>
  <c r="L113" i="1"/>
  <c r="Q113" i="1" s="1"/>
  <c r="AA113" i="1" s="1"/>
  <c r="AB113" i="1" s="1"/>
  <c r="AH113" i="1" s="1"/>
  <c r="AA69" i="1"/>
  <c r="AB69" i="1" s="1"/>
  <c r="AG69" i="1" s="1"/>
  <c r="AH69" i="1" s="1"/>
  <c r="AF69" i="1" s="1"/>
  <c r="L111" i="1"/>
  <c r="Q111" i="1" s="1"/>
  <c r="AA111" i="1" s="1"/>
  <c r="AB111" i="1" s="1"/>
  <c r="AH111" i="1" s="1"/>
  <c r="AA97" i="1"/>
  <c r="AB97" i="1" s="1"/>
  <c r="AG97" i="1" s="1"/>
  <c r="AH97" i="1" s="1"/>
  <c r="AF97" i="1" s="1"/>
  <c r="AE88" i="1"/>
  <c r="AC88" i="1" s="1"/>
  <c r="AE100" i="1"/>
  <c r="AB41" i="1"/>
  <c r="L116" i="1"/>
  <c r="Q116" i="1" s="1"/>
  <c r="AA116" i="1" s="1"/>
  <c r="AB116" i="1" s="1"/>
  <c r="AH116" i="1" s="1"/>
  <c r="AA139" i="1"/>
  <c r="AB139" i="1" s="1"/>
  <c r="AG139" i="1" s="1"/>
  <c r="L123" i="1"/>
  <c r="Q123" i="1" s="1"/>
  <c r="AA123" i="1" s="1"/>
  <c r="AB123" i="1" s="1"/>
  <c r="AH123" i="1" s="1"/>
  <c r="L122" i="1"/>
  <c r="Q122" i="1" s="1"/>
  <c r="AA122" i="1" s="1"/>
  <c r="AB122" i="1" s="1"/>
  <c r="AH122" i="1" s="1"/>
  <c r="L107" i="1"/>
  <c r="Q107" i="1" s="1"/>
  <c r="AA107" i="1" s="1"/>
  <c r="AB107" i="1" s="1"/>
  <c r="AH107" i="1" s="1"/>
  <c r="AD9" i="1"/>
  <c r="AC92" i="1"/>
  <c r="AG41" i="1" l="1"/>
  <c r="AD41" i="1"/>
  <c r="AG92" i="1"/>
  <c r="AG122" i="1"/>
  <c r="AF122" i="1"/>
  <c r="AH41" i="1"/>
  <c r="AG40" i="1"/>
  <c r="AG111" i="1"/>
  <c r="AF111" i="1"/>
  <c r="AG60" i="1"/>
  <c r="AH60" i="1" s="1"/>
  <c r="AF60" i="1" s="1"/>
  <c r="AD60" i="1"/>
  <c r="AE60" i="1" s="1"/>
  <c r="AC60" i="1" s="1"/>
  <c r="AF118" i="1"/>
  <c r="AG118" i="1"/>
  <c r="AG117" i="1" s="1"/>
  <c r="AH117" i="1"/>
  <c r="AF117" i="1" s="1"/>
  <c r="AF110" i="1"/>
  <c r="AG110" i="1"/>
  <c r="AH134" i="1"/>
  <c r="AG133" i="1"/>
  <c r="AF121" i="1"/>
  <c r="AG121" i="1"/>
  <c r="AG99" i="1"/>
  <c r="AF99" i="1"/>
  <c r="AG123" i="1"/>
  <c r="AF123" i="1"/>
  <c r="AF114" i="1"/>
  <c r="AG114" i="1"/>
  <c r="AF124" i="1"/>
  <c r="AG124" i="1"/>
  <c r="AF127" i="1"/>
  <c r="AG127" i="1"/>
  <c r="AG109" i="1"/>
  <c r="AF109" i="1"/>
  <c r="AF108" i="1"/>
  <c r="AG108" i="1"/>
  <c r="AG126" i="1"/>
  <c r="AF126" i="1"/>
  <c r="AH139" i="1"/>
  <c r="AF139" i="1" s="1"/>
  <c r="AG113" i="1"/>
  <c r="AF113" i="1"/>
  <c r="AG125" i="1"/>
  <c r="AF125" i="1"/>
  <c r="AG112" i="1"/>
  <c r="AF112" i="1"/>
  <c r="AG128" i="1"/>
  <c r="AF128" i="1"/>
  <c r="AH105" i="1"/>
  <c r="AF106" i="1"/>
  <c r="AG106" i="1"/>
  <c r="AG120" i="1"/>
  <c r="AF120" i="1"/>
  <c r="AH119" i="1"/>
  <c r="AF119" i="1" s="1"/>
  <c r="AG107" i="1"/>
  <c r="AF107" i="1"/>
  <c r="AF116" i="1"/>
  <c r="AG116" i="1"/>
  <c r="AG63" i="1"/>
  <c r="AH63" i="1" s="1"/>
  <c r="AF63" i="1" s="1"/>
  <c r="AD63" i="1"/>
  <c r="AE63" i="1" s="1"/>
  <c r="AC63" i="1" s="1"/>
  <c r="AF115" i="1"/>
  <c r="AG115" i="1"/>
  <c r="AF129" i="1"/>
  <c r="AG129" i="1"/>
  <c r="AG131" i="1"/>
  <c r="AG130" i="1" s="1"/>
  <c r="AH130" i="1"/>
  <c r="AF130" i="1" s="1"/>
  <c r="AF131" i="1"/>
  <c r="AH89" i="1"/>
  <c r="AG88" i="1"/>
  <c r="AG93" i="1"/>
  <c r="AF93" i="1"/>
  <c r="AE118" i="1"/>
  <c r="AD118" i="1" s="1"/>
  <c r="AD117" i="1" s="1"/>
  <c r="AD54" i="1"/>
  <c r="AE54" i="1" s="1"/>
  <c r="AC54" i="1" s="1"/>
  <c r="AE126" i="1"/>
  <c r="AD126" i="1" s="1"/>
  <c r="AE108" i="1"/>
  <c r="AC108" i="1" s="1"/>
  <c r="AE115" i="1"/>
  <c r="AD115" i="1" s="1"/>
  <c r="AD79" i="1"/>
  <c r="AE79" i="1" s="1"/>
  <c r="AC79" i="1" s="1"/>
  <c r="AE125" i="1"/>
  <c r="AC125" i="1" s="1"/>
  <c r="AA101" i="1"/>
  <c r="AB101" i="1" s="1"/>
  <c r="AH101" i="1" s="1"/>
  <c r="AE111" i="1"/>
  <c r="AD111" i="1" s="1"/>
  <c r="AE113" i="1"/>
  <c r="AC113" i="1" s="1"/>
  <c r="AE93" i="1"/>
  <c r="AE91" i="1" s="1"/>
  <c r="AC91" i="1" s="1"/>
  <c r="AE131" i="1"/>
  <c r="AD131" i="1" s="1"/>
  <c r="AD130" i="1" s="1"/>
  <c r="AD85" i="1"/>
  <c r="AE85" i="1" s="1"/>
  <c r="AC85" i="1" s="1"/>
  <c r="AE129" i="1"/>
  <c r="AD129" i="1" s="1"/>
  <c r="AE109" i="1"/>
  <c r="AD94" i="1"/>
  <c r="AE94" i="1" s="1"/>
  <c r="AC94" i="1" s="1"/>
  <c r="AD134" i="1"/>
  <c r="AE134" i="1" s="1"/>
  <c r="AD138" i="1"/>
  <c r="AE138" i="1" s="1"/>
  <c r="AC138" i="1" s="1"/>
  <c r="AE110" i="1"/>
  <c r="AC110" i="1" s="1"/>
  <c r="AE124" i="1"/>
  <c r="AC124" i="1" s="1"/>
  <c r="AE114" i="1"/>
  <c r="AC114" i="1" s="1"/>
  <c r="AD97" i="1"/>
  <c r="AE97" i="1" s="1"/>
  <c r="AC97" i="1" s="1"/>
  <c r="AB132" i="1"/>
  <c r="AH132" i="1" s="1"/>
  <c r="AE122" i="1"/>
  <c r="AE112" i="1"/>
  <c r="AD139" i="1"/>
  <c r="AE139" i="1"/>
  <c r="AC139" i="1" s="1"/>
  <c r="AE121" i="1"/>
  <c r="AE99" i="1"/>
  <c r="AC100" i="1"/>
  <c r="AE127" i="1"/>
  <c r="AE123" i="1"/>
  <c r="AE120" i="1"/>
  <c r="AE116" i="1"/>
  <c r="AE128" i="1"/>
  <c r="AE106" i="1"/>
  <c r="AE107" i="1"/>
  <c r="AE117" i="1" l="1"/>
  <c r="AC117" i="1" s="1"/>
  <c r="AG91" i="1"/>
  <c r="AG59" i="1" s="1"/>
  <c r="AH92" i="1"/>
  <c r="AD40" i="1"/>
  <c r="AC118" i="1"/>
  <c r="AF101" i="1"/>
  <c r="AG101" i="1"/>
  <c r="AF105" i="1"/>
  <c r="AF41" i="1"/>
  <c r="AF40" i="1" s="1"/>
  <c r="AH40" i="1"/>
  <c r="AG105" i="1"/>
  <c r="AF134" i="1"/>
  <c r="AH133" i="1"/>
  <c r="AF133" i="1" s="1"/>
  <c r="AG132" i="1"/>
  <c r="AF132" i="1"/>
  <c r="AG119" i="1"/>
  <c r="AH88" i="1"/>
  <c r="AF89" i="1"/>
  <c r="AE101" i="1"/>
  <c r="AC101" i="1" s="1"/>
  <c r="AC126" i="1"/>
  <c r="AD108" i="1"/>
  <c r="AC115" i="1"/>
  <c r="AD125" i="1"/>
  <c r="AE130" i="1"/>
  <c r="AC130" i="1" s="1"/>
  <c r="AC111" i="1"/>
  <c r="AC131" i="1"/>
  <c r="AC129" i="1"/>
  <c r="AD93" i="1"/>
  <c r="AD91" i="1" s="1"/>
  <c r="AD113" i="1"/>
  <c r="AD133" i="1"/>
  <c r="AC93" i="1"/>
  <c r="AE59" i="1"/>
  <c r="AD110" i="1"/>
  <c r="AD109" i="1"/>
  <c r="AC109" i="1"/>
  <c r="AD124" i="1"/>
  <c r="AE132" i="1"/>
  <c r="AD114" i="1"/>
  <c r="AE41" i="1"/>
  <c r="AC41" i="1" s="1"/>
  <c r="AD128" i="1"/>
  <c r="AC128" i="1"/>
  <c r="AE133" i="1"/>
  <c r="AC133" i="1" s="1"/>
  <c r="AC134" i="1"/>
  <c r="AD120" i="1"/>
  <c r="AC120" i="1"/>
  <c r="AC116" i="1"/>
  <c r="AD116" i="1"/>
  <c r="AD123" i="1"/>
  <c r="AC123" i="1"/>
  <c r="AD112" i="1"/>
  <c r="AC112" i="1"/>
  <c r="AD122" i="1"/>
  <c r="AC122" i="1"/>
  <c r="AC127" i="1"/>
  <c r="AD127" i="1"/>
  <c r="AD99" i="1"/>
  <c r="AC99" i="1"/>
  <c r="AC59" i="1" s="1"/>
  <c r="AC121" i="1"/>
  <c r="AD121" i="1"/>
  <c r="AE119" i="1"/>
  <c r="AC119" i="1" s="1"/>
  <c r="AD107" i="1"/>
  <c r="AC107" i="1"/>
  <c r="AD106" i="1"/>
  <c r="AE105" i="1"/>
  <c r="AC106" i="1"/>
  <c r="AF92" i="1" l="1"/>
  <c r="AH91" i="1"/>
  <c r="AF91" i="1" s="1"/>
  <c r="AG104" i="1"/>
  <c r="AG39" i="1" s="1"/>
  <c r="AF104" i="1"/>
  <c r="AH104" i="1"/>
  <c r="AF88" i="1"/>
  <c r="AF59" i="1" s="1"/>
  <c r="AF39" i="1" s="1"/>
  <c r="AH59" i="1"/>
  <c r="AH39" i="1" s="1"/>
  <c r="AD101" i="1"/>
  <c r="AD59" i="1"/>
  <c r="AC132" i="1"/>
  <c r="AD132" i="1"/>
  <c r="AD119" i="1"/>
  <c r="AE40" i="1"/>
  <c r="AC40" i="1"/>
  <c r="AD105" i="1"/>
  <c r="AC105" i="1"/>
  <c r="AE104" i="1"/>
  <c r="AC104" i="1" l="1"/>
  <c r="AC39" i="1" s="1"/>
  <c r="AE39" i="1"/>
  <c r="AD104" i="1"/>
  <c r="AD39" i="1" s="1"/>
  <c r="DS91" i="1" l="1"/>
</calcChain>
</file>

<file path=xl/comments1.xml><?xml version="1.0" encoding="utf-8"?>
<comments xmlns="http://schemas.openxmlformats.org/spreadsheetml/2006/main">
  <authors>
    <author>Автор</author>
  </authors>
  <commentList>
    <comment ref="E10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0,62 - с лифтом, 0,45 - без лифта</t>
        </r>
      </text>
    </comment>
    <comment ref="E10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0,78 - с лифтом, 1,09 - без лифта</t>
        </r>
      </text>
    </comment>
  </commentList>
</comments>
</file>

<file path=xl/comments2.xml><?xml version="1.0" encoding="utf-8"?>
<comments xmlns="http://schemas.openxmlformats.org/spreadsheetml/2006/main">
  <authors>
    <author>Alex</author>
  </authors>
  <commentList>
    <comment ref="M14" authorId="0">
      <text>
        <r>
          <rPr>
            <b/>
            <sz val="9"/>
            <color indexed="81"/>
            <rFont val="Tahoma"/>
            <charset val="1"/>
          </rPr>
          <t>Alex:</t>
        </r>
        <r>
          <rPr>
            <sz val="9"/>
            <color indexed="81"/>
            <rFont val="Tahoma"/>
            <charset val="1"/>
          </rPr>
          <t xml:space="preserve">
Газель грузопассажирская
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Площадь брал примерно Шипицыно+Приводино+Курцево+Куимиха +деревни
</t>
        </r>
      </text>
    </comment>
  </commentList>
</comments>
</file>

<file path=xl/comments3.xml><?xml version="1.0" encoding="utf-8"?>
<comments xmlns="http://schemas.openxmlformats.org/spreadsheetml/2006/main">
  <authors>
    <author>Alex</author>
  </authors>
  <commentLis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1 раз в неделю с ноября по апрель
</t>
        </r>
      </text>
    </comment>
    <comment ref="E8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ГЭСНс-01-05-008-01(2,33 маш.час/10000 м2)
</t>
        </r>
      </text>
    </comment>
    <comment ref="J8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Стоимость работы техники 1 маш/час- 4 кв.2022 года</t>
        </r>
      </text>
    </comment>
    <comment ref="C9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по мере необходимости из расчета 3 раза в неделю в зимний период
</t>
        </r>
      </text>
    </comment>
    <comment ref="Q9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материалы песок расход -2м3 на 1000 м2,цена 500 руб/м2
</t>
        </r>
      </text>
    </comment>
    <comment ref="C10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ежедневно в рабочие дни
</t>
        </r>
      </text>
    </comment>
    <comment ref="C11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2 раза в месяц в летний период
</t>
        </r>
      </text>
    </comment>
    <comment ref="C12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2 раза в неделю
</t>
        </r>
      </text>
    </comment>
  </commentList>
</comments>
</file>

<file path=xl/comments4.xml><?xml version="1.0" encoding="utf-8"?>
<comments xmlns="http://schemas.openxmlformats.org/spreadsheetml/2006/main">
  <authors>
    <author>Alex</author>
  </authors>
  <commentList>
    <comment ref="J14" authorId="0">
      <text>
        <r>
          <rPr>
            <b/>
            <sz val="9"/>
            <color indexed="81"/>
            <rFont val="Tahoma"/>
            <charset val="1"/>
          </rPr>
          <t>Alex:</t>
        </r>
        <r>
          <rPr>
            <sz val="9"/>
            <color indexed="81"/>
            <rFont val="Tahoma"/>
            <charset val="1"/>
          </rPr>
          <t xml:space="preserve">
Газель грузопассажирская
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Alex:</t>
        </r>
        <r>
          <rPr>
            <sz val="9"/>
            <color indexed="81"/>
            <rFont val="Tahoma"/>
            <family val="2"/>
            <charset val="204"/>
          </rPr>
          <t xml:space="preserve">
Площадь брал примерно Шипицыно+Приводино+Курцево+Куимиха +деревни
</t>
        </r>
      </text>
    </comment>
  </commentList>
</comments>
</file>

<file path=xl/sharedStrings.xml><?xml version="1.0" encoding="utf-8"?>
<sst xmlns="http://schemas.openxmlformats.org/spreadsheetml/2006/main" count="566" uniqueCount="402">
  <si>
    <t>м2 жил.площади</t>
  </si>
  <si>
    <t>выгр.яма</t>
  </si>
  <si>
    <t>Ремонт крышек септиков, выгребных ям</t>
  </si>
  <si>
    <t>лифт</t>
  </si>
  <si>
    <t>Техническое обслуживание и ремонт лифтов</t>
  </si>
  <si>
    <t>Содержание лифтов</t>
  </si>
  <si>
    <t>Техническое обслуживание лифтов</t>
  </si>
  <si>
    <t>1 газ.прибор</t>
  </si>
  <si>
    <t>1 раз в год</t>
  </si>
  <si>
    <t>Осмотр газопровода и оборудования системы газоснабжения</t>
  </si>
  <si>
    <t>2 раза в год</t>
  </si>
  <si>
    <t>выгр.яма объёмом 10 м3</t>
  </si>
  <si>
    <t>Очистка выгребных ям</t>
  </si>
  <si>
    <t>12.1</t>
  </si>
  <si>
    <t>11.1</t>
  </si>
  <si>
    <t>10.2</t>
  </si>
  <si>
    <t>10.1</t>
  </si>
  <si>
    <t>10</t>
  </si>
  <si>
    <t>9</t>
  </si>
  <si>
    <t>8</t>
  </si>
  <si>
    <t>Проверка и обеспечение работоспособности устройств защитного отключения</t>
  </si>
  <si>
    <t>7</t>
  </si>
  <si>
    <t>Аварийное обслуживавние оборудования и сетей электроснабжения</t>
  </si>
  <si>
    <t>Аварийное обслуживавние оборудования и сетей водоотведения</t>
  </si>
  <si>
    <t>Аварийное обслуживавние оборудования и сетей ХВС</t>
  </si>
  <si>
    <t>Аварийное обслуживавние оборудования и сетей ГВС</t>
  </si>
  <si>
    <t>Аварийное обслуживавние оборудования и сетей отопления</t>
  </si>
  <si>
    <t>6</t>
  </si>
  <si>
    <t>м2 площади чердаков и подвалов</t>
  </si>
  <si>
    <t>Дератизация чердаков и подвалов с применением готовой приманки</t>
  </si>
  <si>
    <t>Дезинсекция и дератизация</t>
  </si>
  <si>
    <t>чел.</t>
  </si>
  <si>
    <t>Сбор и вывоз твердых бытовых отходов (с размещением на свалке)</t>
  </si>
  <si>
    <t>4.1.</t>
  </si>
  <si>
    <t>4</t>
  </si>
  <si>
    <t>м2 площади мех.уборки двора</t>
  </si>
  <si>
    <t>6 раз в год</t>
  </si>
  <si>
    <t>м2 площади уборки двора</t>
  </si>
  <si>
    <t>Сдвигание свежевыпавшего снега в дни сильных снегопадов</t>
  </si>
  <si>
    <t>подъезд</t>
  </si>
  <si>
    <t>5 раза в неделю</t>
  </si>
  <si>
    <t>2 раза в неделю</t>
  </si>
  <si>
    <t>урна</t>
  </si>
  <si>
    <t>Промывка урн</t>
  </si>
  <si>
    <t>5 раз в неделю</t>
  </si>
  <si>
    <t>Очистка урн от мусора</t>
  </si>
  <si>
    <t>Подметание ступеней и площадок перед входом в подъезд</t>
  </si>
  <si>
    <t>м2 площади конт.площадки</t>
  </si>
  <si>
    <t>3 раза в неделю</t>
  </si>
  <si>
    <t>Уборка контейнерной площадки</t>
  </si>
  <si>
    <t>Уборка придомовой территории</t>
  </si>
  <si>
    <t>м2 площади МОП</t>
  </si>
  <si>
    <t>Мытье стен и дверей кабин лифтов</t>
  </si>
  <si>
    <t>Мытье пола кабин лифтов</t>
  </si>
  <si>
    <t>Влажное подметание пола кабин лифтов</t>
  </si>
  <si>
    <t>м2 площади 4 и выше этажей</t>
  </si>
  <si>
    <t>2 раза в месяц</t>
  </si>
  <si>
    <t>Мытье лестничных площадок и маршей выше третьего этажа</t>
  </si>
  <si>
    <t>Влажное подметание лестничных площадок и маршей выше третьего этажа</t>
  </si>
  <si>
    <t>1 раз в месяц</t>
  </si>
  <si>
    <t>Влажная протирка подоконников</t>
  </si>
  <si>
    <t>м2 площади 1-3 этажей</t>
  </si>
  <si>
    <t>Влажная протирка перил лестниц</t>
  </si>
  <si>
    <t>дверь</t>
  </si>
  <si>
    <t>Влажная протирка дверей</t>
  </si>
  <si>
    <t>Мытье окон, в. т.ч. рамы, переплеты, стекла (легкодоступные)</t>
  </si>
  <si>
    <t>2.1.</t>
  </si>
  <si>
    <t>Уборка мест общего пользования</t>
  </si>
  <si>
    <t xml:space="preserve"> Плата за содержание и ремонт жилого помещения</t>
  </si>
  <si>
    <t>Затраты на ед. обслуживания, руб.,коп.</t>
  </si>
  <si>
    <t>прибыль</t>
  </si>
  <si>
    <t>накладные</t>
  </si>
  <si>
    <t>ЕСН</t>
  </si>
  <si>
    <t xml:space="preserve">з/пл </t>
  </si>
  <si>
    <t>доплаты (премия, ночные, стажевые, вредность)</t>
  </si>
  <si>
    <t>разрядный коэф-т</t>
  </si>
  <si>
    <t>разряд</t>
  </si>
  <si>
    <t>Ставка 1 разряда</t>
  </si>
  <si>
    <t>Кол-во человек на единицу обслуживания</t>
  </si>
  <si>
    <t>Годовой фонд рабочего времени</t>
  </si>
  <si>
    <t>Стоимость в месяц на единицу обслуживания (без НДС)</t>
  </si>
  <si>
    <t>Стоимость единицы услуги (без НДС)</t>
  </si>
  <si>
    <t>Норматив обслуживания</t>
  </si>
  <si>
    <t>Затраты времени на годовой объем работ на ед.обслуж., час</t>
  </si>
  <si>
    <t>кол-во в год</t>
  </si>
  <si>
    <t>кол-во месяцев</t>
  </si>
  <si>
    <t>кол-во недель</t>
  </si>
  <si>
    <t>периодичность</t>
  </si>
  <si>
    <t>Норма времени, чел.*мин / единицу</t>
  </si>
  <si>
    <t>Кол-во кв.м. на единицу обслуживания</t>
  </si>
  <si>
    <t>Норма времени на кв.м (единицу обслуживания), мин</t>
  </si>
  <si>
    <t>Единица обслуживания</t>
  </si>
  <si>
    <t>№ п/п</t>
  </si>
  <si>
    <t>центральное</t>
  </si>
  <si>
    <t>газоснабжение</t>
  </si>
  <si>
    <t>естественная</t>
  </si>
  <si>
    <t>вентиляция</t>
  </si>
  <si>
    <t>Объём сетиков, выгребных ям, м3</t>
  </si>
  <si>
    <t>Количество септиков, выгребных ям, шт</t>
  </si>
  <si>
    <t>выгреб.яма 12м3</t>
  </si>
  <si>
    <t>водоотведение</t>
  </si>
  <si>
    <t>техн.вода</t>
  </si>
  <si>
    <t>гор.водоснабжение</t>
  </si>
  <si>
    <t>колодец</t>
  </si>
  <si>
    <t>хол.водостабжение</t>
  </si>
  <si>
    <t>отопление</t>
  </si>
  <si>
    <t>металлочерепица</t>
  </si>
  <si>
    <t>крыша</t>
  </si>
  <si>
    <t>сформирован</t>
  </si>
  <si>
    <t>земельный участок</t>
  </si>
  <si>
    <t>Кол-во проживающих</t>
  </si>
  <si>
    <t>Число квартир</t>
  </si>
  <si>
    <t>Кол-во лифтов, шт</t>
  </si>
  <si>
    <t>Урна, шт</t>
  </si>
  <si>
    <t>Дверь,шт</t>
  </si>
  <si>
    <t>Кол-во дверей в подъезде</t>
  </si>
  <si>
    <t>Кол-во подъездов</t>
  </si>
  <si>
    <t>Кол-во этажей</t>
  </si>
  <si>
    <t>1964</t>
  </si>
  <si>
    <t>Год постройки</t>
  </si>
  <si>
    <t>деревянный дом</t>
  </si>
  <si>
    <t>Краткая характеристика дома</t>
  </si>
  <si>
    <t>Площадь механизированной уборки дворовой территории ,м2</t>
  </si>
  <si>
    <t>Площадь земельного участка, м2</t>
  </si>
  <si>
    <t>Площадь чердака, м2</t>
  </si>
  <si>
    <t>Уборочая площадь МОП 4эт.и выше,м2</t>
  </si>
  <si>
    <t>Уборочая площадь МОП 1-3 эт.,м2</t>
  </si>
  <si>
    <t>Уборочная площадь МОП,м2</t>
  </si>
  <si>
    <t>Площадь мест общего пользования ,м2</t>
  </si>
  <si>
    <t xml:space="preserve">        обязательных работ и услуг по содержанию и ремонту</t>
  </si>
  <si>
    <t>Наименование работ и услуг</t>
  </si>
  <si>
    <t xml:space="preserve">             общего имущества собственников помещений  в многоквартирном доме</t>
  </si>
  <si>
    <t>Годовая плата (рублей)</t>
  </si>
  <si>
    <t>сумма начисления в месяц (рублей)</t>
  </si>
  <si>
    <t>Стоимость на 1 кв.м. общей площади (рублей в месяц)</t>
  </si>
  <si>
    <t>Периодичность выполнения работ и оказания услуг</t>
  </si>
  <si>
    <t>по мере необходимости</t>
  </si>
  <si>
    <t>II. 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</si>
  <si>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I. Работы, необходимые для надлежащего содержания несущих конструкций и ненесущих конструкций многоквартирного дома</t>
  </si>
  <si>
    <t>III. Работы и услуги по содержанию иного общего имущества в многоквартирном доме</t>
  </si>
  <si>
    <t>Техническое обслуживание систем вентиляции</t>
  </si>
  <si>
    <t>Текущий ремонт систем вентиляции</t>
  </si>
  <si>
    <t>при необходимости</t>
  </si>
  <si>
    <t>Техническое обслуживание системы ГВС</t>
  </si>
  <si>
    <t>Техническое обслуживание системы водоотведения</t>
  </si>
  <si>
    <t>Техническое обслуживание системы газоснабжения</t>
  </si>
  <si>
    <t>Техническое обслуживание системы ХВС</t>
  </si>
  <si>
    <t>Текущий ремонт системы электроснабжения</t>
  </si>
  <si>
    <t>Текущий ремонт системы ХВС</t>
  </si>
  <si>
    <t>Техническое обслуживание конструктивных элементов</t>
  </si>
  <si>
    <t>Проверка кровли на отсутствие протечек</t>
  </si>
  <si>
    <t>Проверка температурно-влажностного режима и воздухообмена на чердаке</t>
  </si>
  <si>
    <t>Проверка и при необходимости очистка кровли от скопления снега и наледи</t>
  </si>
  <si>
    <t>При выявлении нарушений, приводящих к протечкам кровли,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</t>
  </si>
  <si>
    <t>Проверка технического состояния видимых частей конструкций фундамента</t>
  </si>
  <si>
    <t>Осмотр стен</t>
  </si>
  <si>
    <t>Проверка состояния и при необходимости обработка деревянных поверхностей антисептическими и антипереновыми составами в домах с деревянными лестницами</t>
  </si>
  <si>
    <t>Контроль состояния и восстановление плотности притворов входных дверей</t>
  </si>
  <si>
    <t>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</t>
  </si>
  <si>
    <t>Проверка состояния перегородок, внутренней отделки, полов помещений, относящихся к общему имуществу в многоквартирном доме</t>
  </si>
  <si>
    <t>При выявлении нарушений целостности оконных и дверных заполнений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</t>
  </si>
  <si>
    <t>Осмотр перекрытий и покрытий</t>
  </si>
  <si>
    <t xml:space="preserve">При выявлении повреждений и нарушений конструктивных элементов - разработка плана восстановительных работ </t>
  </si>
  <si>
    <t xml:space="preserve">Проверка состояния гидроизоляции фундаментов </t>
  </si>
  <si>
    <t>Текущий ремонт конструктивных элементов</t>
  </si>
  <si>
    <t xml:space="preserve">Восстановление или замена отдельных элементов крылец 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</si>
  <si>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</si>
  <si>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Осмотр системы вентиляции (каналы и шахты)</t>
  </si>
  <si>
    <t>При выявлении повреждений и нарушений - разработка плана восстановительных работ</t>
  </si>
  <si>
    <t>Устранение неплотностей, засоров в вентиляционных каналах</t>
  </si>
  <si>
    <t>Восстановление герметичности участков трубопроводов и соединительных элементов в случае их разгерметизации</t>
  </si>
  <si>
    <t>Промывка систем водоснабжения для удаления накипно-коррозионных отложений</t>
  </si>
  <si>
    <t>Промывка систем ГВС для удаления накипно-коррозионных отложений</t>
  </si>
  <si>
    <t>Текущий ремонт системы ГВС</t>
  </si>
  <si>
    <t>Текущий ремонт системы отопления</t>
  </si>
  <si>
    <t>Восстановление работоспособности (ремонт, замена) оборудования и водоразборных приборов (смесителей, кранов и т.п.), относящихся к общему имуществу в многоквартирном доме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</si>
  <si>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</si>
  <si>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Проверка исправности, работоспособности, регулировка и техническое обслуживание элементов системы ХВС, относящихся к общедомовому имуществу многоквартирного дома</t>
  </si>
  <si>
    <t>Проверка исправности, работоспособности, регулировка и техническое обслуживание элементов системы ГВС, относящихся к общедомовому имуществу многоквартирного дома</t>
  </si>
  <si>
    <t>Проверка исправности, работоспособности, регулировка и техническое обслуживание элементов системы отопления, относящихся к общедомовому имуществу многоквартирного дома</t>
  </si>
  <si>
    <t>Постоянный контроль параметров воды (давления, расхода) и незамедлительное принятие мер к восстановлению требуемых параметров водоснабжения</t>
  </si>
  <si>
    <t>Постоянный контроль параметров воды (давления, температуры, расхода) и незамедлительное принятие мер к восстановлению требуемых параметров водоснабжения</t>
  </si>
  <si>
    <t>Постоянный контроль параметров теплоносителя (давления, температуры, расхода) и незамедлительное принятие мер к восстановлению требуемых параметров отопления</t>
  </si>
  <si>
    <t xml:space="preserve">Техническое обслуживание системы отопления 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</si>
  <si>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</si>
  <si>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Удаление воздуха из системы отопления</t>
  </si>
  <si>
    <t>Промывка централизованных систем теплоснабжения для удаления накипно-коррозионных отложений</t>
  </si>
  <si>
    <t>Текущий ремонт системы водоотведения, канализации</t>
  </si>
  <si>
    <t>Восстановление исправности элементов внутренней канализации</t>
  </si>
  <si>
    <t>Контроль состояния элементов внутренней канализации</t>
  </si>
  <si>
    <t>Проверка заземления оболочки электрокабеля, замеры сопротивления изоляции проводов</t>
  </si>
  <si>
    <t xml:space="preserve">Замена вышедших из строя датчиков, проводки </t>
  </si>
  <si>
    <t>Подметание территории в теплый период</t>
  </si>
  <si>
    <t>Подметание территории в дни без снегопада</t>
  </si>
  <si>
    <t>Посыпка территории песком или смесью песка с хлоридами</t>
  </si>
  <si>
    <t>Механизированная очистка придомовой территории от снега, удаление накатов и наледи</t>
  </si>
  <si>
    <t>Очистка от снега и наледи участков территории, недоступных для механизированной уборки</t>
  </si>
  <si>
    <t>1 раз в 2 года</t>
  </si>
  <si>
    <t>2 раза в месяц в тепл пер</t>
  </si>
  <si>
    <t>лампа/квартиру, в год</t>
  </si>
  <si>
    <t>постоянно</t>
  </si>
  <si>
    <t>Мытье тамбуров, коридоров, лестничных площадок и маршей</t>
  </si>
  <si>
    <t>Подметание тамбуров, коридоров, лестничных площадок и маршей</t>
  </si>
  <si>
    <t>1</t>
  </si>
  <si>
    <t>2</t>
  </si>
  <si>
    <t>2.</t>
  </si>
  <si>
    <t>3</t>
  </si>
  <si>
    <t>5.</t>
  </si>
  <si>
    <t>9.1.</t>
  </si>
  <si>
    <t>9.2.</t>
  </si>
  <si>
    <t>11</t>
  </si>
  <si>
    <t>12</t>
  </si>
  <si>
    <t>13</t>
  </si>
  <si>
    <t>Площадь уборки дворовой территории  хоз. площадки дворником,м2</t>
  </si>
  <si>
    <t xml:space="preserve">Лифт </t>
  </si>
  <si>
    <t>13.1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</si>
  <si>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</si>
  <si>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</si>
  <si>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</si>
  <si>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</si>
  <si>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</si>
  <si>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</si>
  <si>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</si>
  <si>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</si>
  <si>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</si>
  <si>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</si>
  <si>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</si>
  <si>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</si>
  <si>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</si>
  <si>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</si>
  <si>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</si>
  <si>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</si>
  <si>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</si>
  <si>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</si>
  <si>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</si>
  <si>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</si>
  <si>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</si>
  <si>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1.12</t>
  </si>
  <si>
    <t>2.1</t>
  </si>
  <si>
    <t>2.2</t>
  </si>
  <si>
    <t>2.3</t>
  </si>
  <si>
    <t>2.4</t>
  </si>
  <si>
    <t>4.1</t>
  </si>
  <si>
    <t>4.2</t>
  </si>
  <si>
    <t>5.1</t>
  </si>
  <si>
    <t>5.2</t>
  </si>
  <si>
    <t>5.3</t>
  </si>
  <si>
    <t>6.1</t>
  </si>
  <si>
    <t>6.2</t>
  </si>
  <si>
    <t>7.1</t>
  </si>
  <si>
    <t>7.2</t>
  </si>
  <si>
    <t>7.3</t>
  </si>
  <si>
    <t>7.4</t>
  </si>
  <si>
    <t>7.5</t>
  </si>
  <si>
    <t>8.1</t>
  </si>
  <si>
    <t>8.2</t>
  </si>
  <si>
    <t>Техническое обслуживание системы электроснабжения</t>
  </si>
  <si>
    <t>м2 площади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</si>
  <si>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</t>
  </si>
  <si>
    <t>Работы по обеспечению вывоза бытовых отходов</t>
  </si>
  <si>
    <t>5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</si>
  <si>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</t>
  </si>
  <si>
    <t xml:space="preserve"> IV. Услуги и работы по управлению многоквартирным домом</t>
  </si>
  <si>
    <t>11.2</t>
  </si>
  <si>
    <t>14</t>
  </si>
  <si>
    <t>14.1</t>
  </si>
  <si>
    <t>14.2</t>
  </si>
  <si>
    <t>Площадь жилых и нежилых помещений, м2</t>
  </si>
  <si>
    <t>Площадь подвала (тех. подполье) за искл. теплового узла, электр, узла связи</t>
  </si>
  <si>
    <t>Уборочная площадь контейнерной площадки</t>
  </si>
  <si>
    <t>Наименование конструктивных характеристик многоквартирного дома, перечень работ и услуг по содержанию МКД</t>
  </si>
  <si>
    <t>показатели</t>
  </si>
  <si>
    <t>Пример расчета экономически-обоснованного тарифа на выполнение</t>
  </si>
  <si>
    <t>кирпичный дом</t>
  </si>
  <si>
    <t>1973</t>
  </si>
  <si>
    <t>септик</t>
  </si>
  <si>
    <t xml:space="preserve">МРОТ с 01.01.2023 </t>
  </si>
  <si>
    <t>рабочее время при 40 часовой неделе</t>
  </si>
  <si>
    <t>МРОТ</t>
  </si>
  <si>
    <t>районный коэффициент</t>
  </si>
  <si>
    <t>северная надбавка</t>
  </si>
  <si>
    <t>Всего заработная плата в месяц</t>
  </si>
  <si>
    <t>Всего заработная плата в год</t>
  </si>
  <si>
    <t>Всего заработная плата в час</t>
  </si>
  <si>
    <t>Итого с РК и СН</t>
  </si>
  <si>
    <t>часов</t>
  </si>
  <si>
    <t>межразрядный коэффицент*</t>
  </si>
  <si>
    <t>* Федеральное отраслевое тарифное соглашение в жилищно-коммунальном хозяйстве Российской Федерации на 2023-2025 годы (зарегистрировано Федеральной службой по труду и занятости 7 июня 2022 года, регистрационный № 12/23-25)</t>
  </si>
  <si>
    <t>ОНОВНЫЕ ХАРАКТЕРИСТИКИ ЗДАНИЯ</t>
  </si>
  <si>
    <t>Адрес</t>
  </si>
  <si>
    <t>Общая площадь здания,м2</t>
  </si>
  <si>
    <t>Площадь участка,м2</t>
  </si>
  <si>
    <t>Площадь застройки,м2</t>
  </si>
  <si>
    <t>Объем,м3</t>
  </si>
  <si>
    <t>Жилая площадь,м2</t>
  </si>
  <si>
    <t>Площадь лесничных клеток,м2</t>
  </si>
  <si>
    <t>Площадь мест общего пользования,м2</t>
  </si>
  <si>
    <t xml:space="preserve">Количество этажей </t>
  </si>
  <si>
    <t>Стены</t>
  </si>
  <si>
    <t xml:space="preserve">Перегородки </t>
  </si>
  <si>
    <t>Межквартирные перегородки</t>
  </si>
  <si>
    <t>Кровля</t>
  </si>
  <si>
    <t>Покрытие кровли</t>
  </si>
  <si>
    <t>Водоснабжение</t>
  </si>
  <si>
    <t xml:space="preserve">Отопление </t>
  </si>
  <si>
    <t>Газоснабжение</t>
  </si>
  <si>
    <t>Количество дней с осадками твердыми</t>
  </si>
  <si>
    <t>единица обслуживания</t>
  </si>
  <si>
    <t>Наименование работ,услуг</t>
  </si>
  <si>
    <t>Коэффициент невыходов</t>
  </si>
  <si>
    <t>м2</t>
  </si>
  <si>
    <t>накладные расходы  -   92 % от ФОТ</t>
  </si>
  <si>
    <t>прибыль - 10 % от ФОТ</t>
  </si>
  <si>
    <t>ЕСН-30% от ФОТ</t>
  </si>
  <si>
    <t>периодичность,раз/год</t>
  </si>
  <si>
    <t>Объем работ</t>
  </si>
  <si>
    <t>НДС-20%</t>
  </si>
  <si>
    <t>Сумма начисления в месяц (рублей)</t>
  </si>
  <si>
    <t>Механизированная очистка придомовой территории от снега</t>
  </si>
  <si>
    <t>Проверка состояния и ремонт продухов в цоколях зданий</t>
  </si>
  <si>
    <t>Проведение технических осмотров и устранение незначительных неисправностей в системе вентиляции</t>
  </si>
  <si>
    <t>Проведение технических осмотров и устранение незначительных неисправностей электротехнических устройств</t>
  </si>
  <si>
    <t>РАСЧЕТ ЗАТРАТ НА АВАРИЙНО-ДИСПЕТЧЕРСКУЮ СЛУЖБУ</t>
  </si>
  <si>
    <t>Статьи затрат</t>
  </si>
  <si>
    <t xml:space="preserve">Оплата труда </t>
  </si>
  <si>
    <t>Слесарь сантехник</t>
  </si>
  <si>
    <t>Электромонтер</t>
  </si>
  <si>
    <t>Сварщик</t>
  </si>
  <si>
    <t>Водитель</t>
  </si>
  <si>
    <t>Диспетчер</t>
  </si>
  <si>
    <t>Количество человек по нормативу</t>
  </si>
  <si>
    <t>количество часов в год на одного человека (режим работы с 17:00 -08:00)</t>
  </si>
  <si>
    <t>коэффициент невыходов</t>
  </si>
  <si>
    <t>Годовой фонд рабочего времени с Кнев.</t>
  </si>
  <si>
    <t>часовая ставка</t>
  </si>
  <si>
    <t xml:space="preserve">Материалы </t>
  </si>
  <si>
    <t>Транспортные услуги*</t>
  </si>
  <si>
    <t>Накладные расходы</t>
  </si>
  <si>
    <t>Сметная прибыль</t>
  </si>
  <si>
    <t>Всего затрат</t>
  </si>
  <si>
    <t>Площадь обслуживаемого жилижного фонда,м2</t>
  </si>
  <si>
    <t>Стоимость работ на 1 м2/ месяц</t>
  </si>
  <si>
    <t xml:space="preserve"> С НДС </t>
  </si>
  <si>
    <t>Годовая плата,рублей без НДС</t>
  </si>
  <si>
    <t>Стоимость на 1 м2 общей площади (руб/мес),без НДС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</si>
  <si>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</si>
  <si>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Аварийное обслуживание</t>
  </si>
  <si>
    <t>Дератизация и дезинсекция</t>
  </si>
  <si>
    <t>Услуги по управлению МКД</t>
  </si>
  <si>
    <t>"Рекомендации по нормированию материальных ресурсов на содержание и ремонт жилищного фонда. Часть 1. Нормы расхода материальных ресурсов и обеспеченности уборочным инвентарем на санитарное содержание домовладений" (утв. Приказом Госстроя РФ от 22.08.2000 N 191)</t>
  </si>
  <si>
    <t>Нормативные документы</t>
  </si>
  <si>
    <t>Нормативы трудовых и материальных ресурсов для выполнения работ и услуг по содержанию и ремонту общего имущества многоквартирных домов. Часть I. Обязательные работы</t>
  </si>
  <si>
    <t>МЕТОДИЧЕСКИЕ РЕКОМЕНДАЦИИ ПО РАСЧЕТУ МИНИМАЛЬНОГО РАЗМЕРА СТОИМОСТИ РАБОТ (УСЛУГ) ПО СОДЕРЖАНИЮ ОБЩЕГО ИМУЩЕСТВА МНОГОКВАРТИРНЫХ ДОМОВ ИЗ РАСЧЕТА НА 1 КВ.М ОБЩЕЙ ПЛОЩАДИ ЖИЛОГО И НЕЖИЛОГО ПОМЕЩЕНИЯ</t>
  </si>
  <si>
    <t>МЕТОДИЧЕСКИЕ РЕКОМЕНДАЦИИ ПО ОПРЕДЕЛЕНИЮ ПЛАТЫ ЗА СОДЕРЖАНИЕ И РЕМОНТ ЖИЛОГО ПОМЕЩЕНИЯ</t>
  </si>
  <si>
    <t>Сборник нормативов трудовых и материальных ресурсов , разработанный Центром муниципальной экономики и права </t>
  </si>
  <si>
    <t>РЕКОМЕНДАЦИИ ПО НОРМИРОВАНИЮ ТРУДА РАБОТНИКОВ, ЗАНЯТЫХ СОДЕРЖАНИЕМ И РЕМОНТОМ ЖИЛИЩНОГО ФОНДА ЧАСТЬ 1</t>
  </si>
  <si>
    <t>РЕКОМЕНДАЦИИ ПО НОРМИРОВАНИЮ ТРУДА РАБОТНИКОВ АВАРИЙНО-РЕМОНТНОЙ СЛУЖБЫ ЖИЛИЩНОГО ХОЗЯЙСТВА</t>
  </si>
  <si>
    <t>НОРМЫ ОБСЛУЖИВАНИЯ ДЛЯ РАБОЧИХ, ЗАНЯТЫХ НА РАБОТАХ ПО САНИТАРНОМУ СОДЕРЖАНИЮ ДОМОВЛАДЕНИЙ</t>
  </si>
  <si>
    <t>Нормативы численности работников дежурной ремонтной (аварийной) службы жилищного хозяйств</t>
  </si>
  <si>
    <t>1 квартира</t>
  </si>
  <si>
    <t>Сумма с НДС в месяц (рублей)</t>
  </si>
  <si>
    <t>* Коэффициент эффективности использовая транспорта 20 % от фонда рабочего времени водителя</t>
  </si>
  <si>
    <t>МЕТОДИЧЕСКИЕ РЕКОМЕНДАЦИИ ПО ОПРЕДЕЛЕНИЮ НОРМАТИВОВ ОБЩЕЭКСПЛУАТАЦИОННЫХ РАСХОДОВ В ТАРИФАХ НА СОДЕРЖАНИЕ И РЕМОНТ ЖИЛИЩНОГО ФОНДА</t>
  </si>
  <si>
    <t>РАСЧЕТ ЗАТРАТ НА УПРАВЛЕНИЕ МКД</t>
  </si>
  <si>
    <t>ОПЛАТА ТРУДА</t>
  </si>
  <si>
    <t>Нормативная площадь обслуживания,тыс. м2</t>
  </si>
  <si>
    <t>Общее руководство</t>
  </si>
  <si>
    <t>Технический контроль и планирование</t>
  </si>
  <si>
    <t>Контроль за техническим состоянием и использованием жилищного фонда и предоставлением жилищно-коммунальных услуг</t>
  </si>
  <si>
    <t>Общее финансово-экономическое обеспечение</t>
  </si>
  <si>
    <t>Информационное и методическое обеспечение</t>
  </si>
  <si>
    <t>Договорно-правовая деятельность</t>
  </si>
  <si>
    <t>Оплата жилищно-коммунальных услуг</t>
  </si>
  <si>
    <t>Количество человек на площадь обслуживания</t>
  </si>
  <si>
    <t>Аренда помещения</t>
  </si>
  <si>
    <t>Прибыль</t>
  </si>
  <si>
    <t>НДС</t>
  </si>
  <si>
    <t>ВСЕГО ЗАТРАТ</t>
  </si>
  <si>
    <t>Дератизация</t>
  </si>
  <si>
    <t>Дезинсекция</t>
  </si>
  <si>
    <t>Площадь обслуживания,тыс. м2</t>
  </si>
  <si>
    <t>Годовой норматив рабочего времени при 40 часовой неделе</t>
  </si>
  <si>
    <t>Деревянные</t>
  </si>
  <si>
    <t>Скатная</t>
  </si>
  <si>
    <t>Водоотведение</t>
  </si>
  <si>
    <t xml:space="preserve">Площадь дворового проезда </t>
  </si>
  <si>
    <t xml:space="preserve">Проведение технических осмотров и устранение незначительных неисправностей системы ХВС </t>
  </si>
  <si>
    <t>Текущий ремонт</t>
  </si>
  <si>
    <t>Вывоз ЖБО</t>
  </si>
  <si>
    <t>ТО ВДГО</t>
  </si>
  <si>
    <t>Ремонт, регулировка, промывка, испытание, расконсервация систем центрального отопления</t>
  </si>
  <si>
    <t>Утепление и прочистка дымовентиляционных каналов</t>
  </si>
  <si>
    <t xml:space="preserve">Проведение технических осмотров и устранение незначительных неисправностей системы отопления
</t>
  </si>
  <si>
    <t>материалы -12 % от ФОТ</t>
  </si>
  <si>
    <t>Смена колпаков дымовых и вентиляционных труб</t>
  </si>
  <si>
    <t>Профнастил</t>
  </si>
  <si>
    <t xml:space="preserve">I. 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
</t>
  </si>
  <si>
    <t>Проведение технических осмотров и устранение незначительных неисправностей (конструктивные элементы здания)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</si>
  <si>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</si>
  <si>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>*Вывоз ЖБО согласно тарифа МБУ "Служба благоустройства и содержания территорий" (432,93 руб. за 1 куб.м.)</t>
  </si>
  <si>
    <t>Российская Федерация, Архангельская область,Котласский муниципальный округ, пос. Савватия, ул. Заречная, д. 23 А</t>
  </si>
  <si>
    <t>Расчет Заречная 23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</si>
</sst>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"/>
    <numFmt numFmtId="166" formatCode="0.000"/>
  </numFmts>
  <fonts count="53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indexed="10"/>
      <name val="Times New Roman"/>
      <family val="1"/>
      <charset val="204"/>
    </font>
    <font>
      <sz val="11"/>
      <color indexed="8"/>
      <name val="Calibri"/>
      <family val="2"/>
    </font>
    <font>
      <b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Calibri"/>
      <family val="2"/>
    </font>
    <font>
      <b/>
      <sz val="10"/>
      <name val="Calibri"/>
      <family val="2"/>
      <charset val="204"/>
    </font>
    <font>
      <b/>
      <i/>
      <sz val="10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rgb="FF212529"/>
      <name val="Times New Roman"/>
      <family val="1"/>
      <charset val="204"/>
    </font>
    <font>
      <sz val="11"/>
      <color rgb="FF212529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rgb="FF212529"/>
      <name val="Arial"/>
      <family val="2"/>
      <charset val="204"/>
    </font>
    <font>
      <sz val="9"/>
      <color rgb="FF212529"/>
      <name val="Arial"/>
      <family val="2"/>
      <charset val="204"/>
    </font>
    <font>
      <b/>
      <sz val="11"/>
      <color rgb="FF00589B"/>
      <name val="Montserrat"/>
    </font>
    <font>
      <sz val="9"/>
      <color rgb="FF227FBC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8" fillId="0" borderId="0"/>
    <xf numFmtId="0" fontId="1" fillId="0" borderId="0"/>
    <xf numFmtId="0" fontId="5" fillId="0" borderId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</cellStyleXfs>
  <cellXfs count="278">
    <xf numFmtId="0" fontId="0" fillId="0" borderId="0" xfId="0"/>
    <xf numFmtId="2" fontId="6" fillId="0" borderId="1" xfId="4" applyNumberFormat="1" applyFont="1" applyFill="1" applyBorder="1" applyAlignment="1" applyProtection="1">
      <alignment horizontal="left" vertical="center" wrapText="1"/>
      <protection hidden="1"/>
    </xf>
    <xf numFmtId="2" fontId="8" fillId="0" borderId="1" xfId="4" applyNumberFormat="1" applyFont="1" applyFill="1" applyBorder="1" applyAlignment="1" applyProtection="1">
      <alignment horizontal="left" vertical="center" wrapText="1"/>
      <protection hidden="1"/>
    </xf>
    <xf numFmtId="49" fontId="6" fillId="0" borderId="1" xfId="3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0" xfId="3" applyFont="1" applyFill="1"/>
    <xf numFmtId="2" fontId="6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/>
    <xf numFmtId="2" fontId="4" fillId="0" borderId="1" xfId="0" applyNumberFormat="1" applyFont="1" applyFill="1" applyBorder="1"/>
    <xf numFmtId="1" fontId="4" fillId="0" borderId="1" xfId="0" applyNumberFormat="1" applyFont="1" applyFill="1" applyBorder="1"/>
    <xf numFmtId="2" fontId="4" fillId="0" borderId="1" xfId="0" applyNumberFormat="1" applyFont="1" applyFill="1" applyBorder="1" applyAlignment="1">
      <alignment wrapText="1"/>
    </xf>
    <xf numFmtId="2" fontId="7" fillId="0" borderId="1" xfId="4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3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vertical="center" wrapText="1"/>
    </xf>
    <xf numFmtId="9" fontId="4" fillId="0" borderId="1" xfId="0" applyNumberFormat="1" applyFont="1" applyFill="1" applyBorder="1"/>
    <xf numFmtId="166" fontId="6" fillId="0" borderId="1" xfId="0" applyNumberFormat="1" applyFont="1" applyFill="1" applyBorder="1"/>
    <xf numFmtId="9" fontId="4" fillId="0" borderId="1" xfId="5" applyFont="1" applyFill="1" applyBorder="1"/>
    <xf numFmtId="164" fontId="4" fillId="0" borderId="1" xfId="0" applyNumberFormat="1" applyFont="1" applyFill="1" applyBorder="1"/>
    <xf numFmtId="165" fontId="4" fillId="0" borderId="1" xfId="0" applyNumberFormat="1" applyFont="1" applyFill="1" applyBorder="1"/>
    <xf numFmtId="2" fontId="12" fillId="0" borderId="1" xfId="4" applyNumberFormat="1" applyFont="1" applyFill="1" applyBorder="1" applyAlignment="1" applyProtection="1">
      <alignment horizontal="left" vertical="center" wrapText="1"/>
      <protection hidden="1"/>
    </xf>
    <xf numFmtId="49" fontId="7" fillId="0" borderId="1" xfId="0" applyNumberFormat="1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Fill="1" applyBorder="1" applyAlignment="1">
      <alignment horizontal="center" vertical="center" wrapText="1"/>
    </xf>
    <xf numFmtId="0" fontId="2" fillId="0" borderId="0" xfId="0" applyFont="1" applyFill="1"/>
    <xf numFmtId="49" fontId="7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Fill="1"/>
    <xf numFmtId="0" fontId="2" fillId="0" borderId="1" xfId="0" applyFont="1" applyFill="1" applyBorder="1"/>
    <xf numFmtId="2" fontId="1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1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3" applyNumberFormat="1" applyFont="1" applyFill="1"/>
    <xf numFmtId="1" fontId="23" fillId="0" borderId="4" xfId="3" applyNumberFormat="1" applyFont="1" applyFill="1" applyBorder="1" applyAlignment="1">
      <alignment horizontal="center" vertical="center" wrapText="1"/>
    </xf>
    <xf numFmtId="1" fontId="1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1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1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" fillId="0" borderId="4" xfId="3" applyFill="1" applyBorder="1" applyAlignment="1">
      <alignment horizontal="center" vertical="center" wrapText="1"/>
    </xf>
    <xf numFmtId="0" fontId="2" fillId="0" borderId="4" xfId="0" applyFont="1" applyFill="1" applyBorder="1"/>
    <xf numFmtId="0" fontId="1" fillId="0" borderId="1" xfId="3" applyFill="1" applyBorder="1" applyAlignment="1">
      <alignment horizontal="center" vertical="center" wrapText="1"/>
    </xf>
    <xf numFmtId="0" fontId="1" fillId="0" borderId="5" xfId="3" applyFill="1" applyBorder="1" applyAlignment="1">
      <alignment horizontal="center" vertical="center" wrapText="1"/>
    </xf>
    <xf numFmtId="0" fontId="23" fillId="0" borderId="4" xfId="3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0" xfId="0" applyFont="1" applyFill="1"/>
    <xf numFmtId="0" fontId="23" fillId="0" borderId="5" xfId="3" applyFont="1" applyFill="1" applyBorder="1" applyAlignment="1">
      <alignment horizontal="center" vertical="center" wrapText="1"/>
    </xf>
    <xf numFmtId="0" fontId="3" fillId="0" borderId="0" xfId="3" applyFont="1" applyFill="1"/>
    <xf numFmtId="49" fontId="1" fillId="0" borderId="4" xfId="3" applyNumberFormat="1" applyFill="1" applyBorder="1" applyAlignment="1">
      <alignment horizontal="center" vertical="center" wrapText="1"/>
    </xf>
    <xf numFmtId="49" fontId="3" fillId="0" borderId="1" xfId="0" applyNumberFormat="1" applyFont="1" applyFill="1" applyBorder="1"/>
    <xf numFmtId="49" fontId="3" fillId="0" borderId="0" xfId="0" applyNumberFormat="1" applyFont="1" applyFill="1"/>
    <xf numFmtId="49" fontId="1" fillId="0" borderId="5" xfId="3" applyNumberFormat="1" applyFill="1" applyBorder="1" applyAlignment="1">
      <alignment horizontal="center" vertical="center" wrapText="1"/>
    </xf>
    <xf numFmtId="49" fontId="2" fillId="0" borderId="0" xfId="3" applyNumberFormat="1" applyFont="1" applyFill="1"/>
    <xf numFmtId="0" fontId="1" fillId="0" borderId="1" xfId="3" applyFill="1" applyBorder="1" applyAlignment="1">
      <alignment wrapText="1"/>
    </xf>
    <xf numFmtId="0" fontId="1" fillId="0" borderId="3" xfId="3" applyFill="1" applyBorder="1" applyAlignment="1">
      <alignment wrapText="1"/>
    </xf>
    <xf numFmtId="0" fontId="1" fillId="0" borderId="4" xfId="3" applyFill="1" applyBorder="1" applyAlignment="1">
      <alignment wrapText="1"/>
    </xf>
    <xf numFmtId="0" fontId="1" fillId="0" borderId="5" xfId="3" applyFill="1" applyBorder="1" applyAlignment="1">
      <alignment wrapText="1"/>
    </xf>
    <xf numFmtId="1" fontId="23" fillId="0" borderId="5" xfId="3" applyNumberFormat="1" applyFont="1" applyFill="1" applyBorder="1" applyAlignment="1">
      <alignment horizontal="center" vertical="center" wrapText="1"/>
    </xf>
    <xf numFmtId="2" fontId="7" fillId="0" borderId="1" xfId="4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Fill="1" applyBorder="1"/>
    <xf numFmtId="0" fontId="7" fillId="0" borderId="1" xfId="0" applyFont="1" applyFill="1" applyBorder="1"/>
    <xf numFmtId="0" fontId="6" fillId="0" borderId="1" xfId="0" applyFont="1" applyFill="1" applyBorder="1"/>
    <xf numFmtId="2" fontId="11" fillId="0" borderId="1" xfId="3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wrapText="1"/>
    </xf>
    <xf numFmtId="0" fontId="14" fillId="0" borderId="1" xfId="0" applyFont="1" applyFill="1" applyBorder="1"/>
    <xf numFmtId="2" fontId="11" fillId="0" borderId="1" xfId="0" applyNumberFormat="1" applyFont="1" applyFill="1" applyBorder="1" applyAlignment="1">
      <alignment vertical="center" wrapText="1"/>
    </xf>
    <xf numFmtId="49" fontId="9" fillId="0" borderId="1" xfId="3" applyNumberFormat="1" applyFont="1" applyFill="1" applyBorder="1" applyAlignment="1">
      <alignment horizontal="center" vertical="center"/>
    </xf>
    <xf numFmtId="49" fontId="2" fillId="0" borderId="0" xfId="3" applyNumberFormat="1" applyFont="1" applyFill="1" applyAlignment="1">
      <alignment horizontal="center" vertical="center"/>
    </xf>
    <xf numFmtId="2" fontId="3" fillId="0" borderId="0" xfId="3" applyNumberFormat="1" applyFont="1" applyFill="1" applyAlignment="1">
      <alignment vertical="center" wrapText="1"/>
    </xf>
    <xf numFmtId="2" fontId="2" fillId="0" borderId="0" xfId="3" applyNumberFormat="1" applyFont="1" applyFill="1" applyAlignment="1">
      <alignment wrapText="1"/>
    </xf>
    <xf numFmtId="2" fontId="2" fillId="0" borderId="0" xfId="3" applyNumberFormat="1" applyFont="1" applyFill="1" applyAlignment="1">
      <alignment horizontal="center" wrapText="1"/>
    </xf>
    <xf numFmtId="49" fontId="4" fillId="0" borderId="0" xfId="3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wrapText="1"/>
    </xf>
    <xf numFmtId="0" fontId="4" fillId="0" borderId="0" xfId="0" applyFont="1" applyFill="1"/>
    <xf numFmtId="2" fontId="4" fillId="0" borderId="0" xfId="3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3" applyFont="1" applyFill="1" applyBorder="1"/>
    <xf numFmtId="164" fontId="9" fillId="0" borderId="1" xfId="0" applyNumberFormat="1" applyFont="1" applyFill="1" applyBorder="1"/>
    <xf numFmtId="9" fontId="9" fillId="0" borderId="1" xfId="0" applyNumberFormat="1" applyFont="1" applyFill="1" applyBorder="1"/>
    <xf numFmtId="0" fontId="9" fillId="0" borderId="0" xfId="3" applyFont="1" applyFill="1"/>
    <xf numFmtId="2" fontId="1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1" fillId="0" borderId="5" xfId="3" applyFill="1" applyBorder="1" applyAlignment="1">
      <alignment horizontal="right" vertical="center" wrapText="1"/>
    </xf>
    <xf numFmtId="0" fontId="23" fillId="0" borderId="5" xfId="3" applyFont="1" applyFill="1" applyBorder="1" applyAlignment="1">
      <alignment horizontal="right" vertical="center" wrapText="1"/>
    </xf>
    <xf numFmtId="49" fontId="1" fillId="0" borderId="5" xfId="3" applyNumberFormat="1" applyFill="1" applyBorder="1" applyAlignment="1">
      <alignment horizontal="right" vertical="center" wrapText="1"/>
    </xf>
    <xf numFmtId="0" fontId="1" fillId="0" borderId="5" xfId="3" applyFill="1" applyBorder="1" applyAlignment="1">
      <alignment horizontal="right" wrapText="1"/>
    </xf>
    <xf numFmtId="1" fontId="23" fillId="0" borderId="5" xfId="3" applyNumberFormat="1" applyFont="1" applyFill="1" applyBorder="1" applyAlignment="1">
      <alignment horizontal="right" vertical="center" wrapText="1"/>
    </xf>
    <xf numFmtId="0" fontId="1" fillId="0" borderId="2" xfId="3" applyFill="1" applyBorder="1" applyAlignment="1">
      <alignment horizontal="right" vertical="center" wrapText="1"/>
    </xf>
    <xf numFmtId="0" fontId="1" fillId="0" borderId="1" xfId="3" applyFill="1" applyBorder="1" applyAlignment="1">
      <alignment horizontal="right" vertical="center" wrapText="1"/>
    </xf>
    <xf numFmtId="2" fontId="2" fillId="0" borderId="0" xfId="3" applyNumberFormat="1" applyFont="1" applyFill="1" applyAlignment="1">
      <alignment horizontal="right" wrapText="1"/>
    </xf>
    <xf numFmtId="2" fontId="4" fillId="0" borderId="0" xfId="3" applyNumberFormat="1" applyFont="1" applyFill="1" applyAlignment="1">
      <alignment horizontal="right" wrapText="1"/>
    </xf>
    <xf numFmtId="0" fontId="24" fillId="0" borderId="0" xfId="3" applyFont="1" applyFill="1" applyBorder="1" applyAlignment="1">
      <alignment horizontal="right" vertical="center" wrapText="1"/>
    </xf>
    <xf numFmtId="2" fontId="19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17" fillId="0" borderId="1" xfId="3" applyFont="1" applyFill="1" applyBorder="1" applyAlignment="1">
      <alignment horizontal="right" vertical="center" wrapText="1"/>
    </xf>
    <xf numFmtId="0" fontId="17" fillId="0" borderId="4" xfId="3" applyFont="1" applyFill="1" applyBorder="1" applyAlignment="1">
      <alignment horizontal="right" vertical="center" wrapText="1"/>
    </xf>
    <xf numFmtId="2" fontId="17" fillId="0" borderId="1" xfId="3" applyNumberFormat="1" applyFont="1" applyFill="1" applyBorder="1" applyAlignment="1">
      <alignment horizontal="right" vertical="center"/>
    </xf>
    <xf numFmtId="2" fontId="21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2" fillId="0" borderId="1" xfId="3" applyFont="1" applyFill="1" applyBorder="1" applyAlignment="1">
      <alignment horizontal="right" vertical="center"/>
    </xf>
    <xf numFmtId="2" fontId="19" fillId="0" borderId="1" xfId="3" applyNumberFormat="1" applyFont="1" applyFill="1" applyBorder="1" applyAlignment="1">
      <alignment horizontal="right" vertical="center"/>
    </xf>
    <xf numFmtId="49" fontId="21" fillId="0" borderId="4" xfId="2" applyNumberFormat="1" applyFont="1" applyFill="1" applyBorder="1" applyAlignment="1" applyProtection="1">
      <alignment horizontal="right" vertical="center" wrapText="1"/>
      <protection hidden="1"/>
    </xf>
    <xf numFmtId="1" fontId="21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4" fillId="0" borderId="4" xfId="3" applyFont="1" applyFill="1" applyBorder="1" applyAlignment="1">
      <alignment horizontal="right" vertical="center" wrapText="1"/>
    </xf>
    <xf numFmtId="1" fontId="20" fillId="0" borderId="1" xfId="3" applyNumberFormat="1" applyFont="1" applyFill="1" applyBorder="1" applyAlignment="1">
      <alignment horizontal="right" vertical="center"/>
    </xf>
    <xf numFmtId="0" fontId="4" fillId="0" borderId="1" xfId="3" applyFont="1" applyFill="1" applyBorder="1" applyAlignment="1">
      <alignment horizontal="right" vertical="center" wrapText="1"/>
    </xf>
    <xf numFmtId="1" fontId="19" fillId="0" borderId="1" xfId="3" applyNumberFormat="1" applyFont="1" applyFill="1" applyBorder="1" applyAlignment="1">
      <alignment horizontal="right"/>
    </xf>
    <xf numFmtId="1" fontId="22" fillId="0" borderId="1" xfId="3" applyNumberFormat="1" applyFont="1" applyFill="1" applyBorder="1" applyAlignment="1">
      <alignment horizontal="right"/>
    </xf>
    <xf numFmtId="1" fontId="19" fillId="0" borderId="1" xfId="3" applyNumberFormat="1" applyFont="1" applyFill="1" applyBorder="1" applyAlignment="1">
      <alignment horizontal="right" vertical="center"/>
    </xf>
    <xf numFmtId="1" fontId="22" fillId="0" borderId="1" xfId="3" applyNumberFormat="1" applyFont="1" applyFill="1" applyBorder="1" applyAlignment="1">
      <alignment horizontal="right" vertical="center"/>
    </xf>
    <xf numFmtId="2" fontId="20" fillId="0" borderId="1" xfId="3" applyNumberFormat="1" applyFont="1" applyFill="1" applyBorder="1" applyAlignment="1">
      <alignment horizontal="right" vertical="center"/>
    </xf>
    <xf numFmtId="2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2" fontId="7" fillId="0" borderId="1" xfId="4" applyNumberFormat="1" applyFont="1" applyFill="1" applyBorder="1" applyAlignment="1" applyProtection="1">
      <alignment horizontal="right" vertical="center" wrapText="1"/>
      <protection hidden="1"/>
    </xf>
    <xf numFmtId="2" fontId="4" fillId="0" borderId="1" xfId="3" applyNumberFormat="1" applyFont="1" applyFill="1" applyBorder="1" applyAlignment="1">
      <alignment horizontal="right" vertical="center"/>
    </xf>
    <xf numFmtId="0" fontId="2" fillId="0" borderId="0" xfId="3" applyFont="1" applyFill="1" applyAlignment="1">
      <alignment horizontal="center"/>
    </xf>
    <xf numFmtId="4" fontId="7" fillId="0" borderId="1" xfId="4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9" fillId="0" borderId="1" xfId="3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wrapText="1"/>
    </xf>
    <xf numFmtId="0" fontId="13" fillId="0" borderId="1" xfId="3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 vertical="center"/>
    </xf>
    <xf numFmtId="0" fontId="9" fillId="0" borderId="1" xfId="3" applyFont="1" applyFill="1" applyBorder="1"/>
    <xf numFmtId="2" fontId="10" fillId="0" borderId="1" xfId="4" applyNumberFormat="1" applyFont="1" applyFill="1" applyBorder="1" applyAlignment="1" applyProtection="1">
      <alignment horizontal="left" vertical="center" wrapText="1"/>
      <protection hidden="1"/>
    </xf>
    <xf numFmtId="4" fontId="16" fillId="0" borderId="1" xfId="3" applyNumberFormat="1" applyFont="1" applyFill="1" applyBorder="1" applyAlignment="1">
      <alignment horizontal="right" vertical="center"/>
    </xf>
    <xf numFmtId="49" fontId="7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3" applyFont="1" applyFill="1" applyBorder="1" applyAlignment="1">
      <alignment horizontal="center" wrapText="1"/>
    </xf>
    <xf numFmtId="0" fontId="1" fillId="0" borderId="4" xfId="3" applyFill="1" applyBorder="1" applyAlignment="1">
      <alignment horizontal="left" vertical="center" wrapText="1"/>
    </xf>
    <xf numFmtId="0" fontId="23" fillId="0" borderId="4" xfId="3" applyFont="1" applyFill="1" applyBorder="1" applyAlignment="1">
      <alignment horizontal="left" vertical="center" wrapText="1"/>
    </xf>
    <xf numFmtId="49" fontId="1" fillId="0" borderId="4" xfId="3" applyNumberFormat="1" applyFill="1" applyBorder="1" applyAlignment="1">
      <alignment horizontal="left" vertical="center" wrapText="1"/>
    </xf>
    <xf numFmtId="0" fontId="1" fillId="0" borderId="1" xfId="3" applyFill="1" applyBorder="1" applyAlignment="1">
      <alignment horizontal="left" wrapText="1"/>
    </xf>
    <xf numFmtId="0" fontId="1" fillId="0" borderId="4" xfId="3" applyFill="1" applyBorder="1" applyAlignment="1">
      <alignment horizontal="left" wrapText="1"/>
    </xf>
    <xf numFmtId="1" fontId="23" fillId="0" borderId="4" xfId="3" applyNumberFormat="1" applyFont="1" applyFill="1" applyBorder="1" applyAlignment="1">
      <alignment horizontal="left" vertical="center" wrapText="1"/>
    </xf>
    <xf numFmtId="0" fontId="1" fillId="0" borderId="1" xfId="3" applyFill="1" applyBorder="1" applyAlignment="1">
      <alignment horizontal="left" vertical="center" wrapText="1"/>
    </xf>
    <xf numFmtId="2" fontId="9" fillId="0" borderId="1" xfId="3" applyNumberFormat="1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horizontal="left" wrapText="1"/>
    </xf>
    <xf numFmtId="2" fontId="2" fillId="0" borderId="0" xfId="3" applyNumberFormat="1" applyFont="1" applyFill="1" applyAlignment="1">
      <alignment horizontal="left" wrapText="1"/>
    </xf>
    <xf numFmtId="2" fontId="4" fillId="0" borderId="0" xfId="3" applyNumberFormat="1" applyFont="1" applyFill="1" applyAlignment="1">
      <alignment horizontal="left" wrapText="1"/>
    </xf>
    <xf numFmtId="2" fontId="9" fillId="0" borderId="0" xfId="3" applyNumberFormat="1" applyFont="1" applyFill="1"/>
    <xf numFmtId="4" fontId="16" fillId="2" borderId="1" xfId="3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/>
    <xf numFmtId="1" fontId="7" fillId="0" borderId="1" xfId="0" applyNumberFormat="1" applyFont="1" applyFill="1" applyBorder="1"/>
    <xf numFmtId="2" fontId="7" fillId="0" borderId="1" xfId="0" applyNumberFormat="1" applyFont="1" applyFill="1" applyBorder="1"/>
    <xf numFmtId="9" fontId="7" fillId="0" borderId="1" xfId="0" applyNumberFormat="1" applyFont="1" applyFill="1" applyBorder="1"/>
    <xf numFmtId="0" fontId="7" fillId="0" borderId="0" xfId="3" applyFont="1" applyFill="1"/>
    <xf numFmtId="165" fontId="17" fillId="0" borderId="1" xfId="3" applyNumberFormat="1" applyFont="1" applyFill="1" applyBorder="1" applyAlignment="1">
      <alignment horizontal="right" vertical="center"/>
    </xf>
    <xf numFmtId="165" fontId="17" fillId="0" borderId="1" xfId="3" applyNumberFormat="1" applyFont="1" applyFill="1" applyBorder="1" applyAlignment="1">
      <alignment horizontal="right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2" fontId="1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17" fillId="0" borderId="4" xfId="3" applyNumberFormat="1" applyFont="1" applyFill="1" applyBorder="1" applyAlignment="1">
      <alignment horizontal="right" vertical="center" wrapText="1"/>
    </xf>
    <xf numFmtId="2" fontId="6" fillId="0" borderId="1" xfId="4" applyNumberFormat="1" applyFont="1" applyFill="1" applyBorder="1" applyAlignment="1" applyProtection="1">
      <alignment horizontal="left" vertical="center" wrapText="1"/>
      <protection hidden="1"/>
    </xf>
    <xf numFmtId="4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2" fontId="6" fillId="0" borderId="1" xfId="0" applyNumberFormat="1" applyFont="1" applyFill="1" applyBorder="1" applyAlignment="1">
      <alignment wrapText="1"/>
    </xf>
    <xf numFmtId="4" fontId="2" fillId="0" borderId="0" xfId="3" applyNumberFormat="1" applyFont="1" applyFill="1" applyAlignment="1">
      <alignment wrapText="1"/>
    </xf>
    <xf numFmtId="2" fontId="4" fillId="2" borderId="1" xfId="0" applyNumberFormat="1" applyFont="1" applyFill="1" applyBorder="1"/>
    <xf numFmtId="0" fontId="4" fillId="2" borderId="1" xfId="0" applyFont="1" applyFill="1" applyBorder="1"/>
    <xf numFmtId="2" fontId="11" fillId="0" borderId="0" xfId="3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3" applyFont="1" applyFill="1" applyBorder="1" applyAlignment="1">
      <alignment horizontal="center" wrapText="1"/>
    </xf>
    <xf numFmtId="0" fontId="28" fillId="0" borderId="1" xfId="3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22" fillId="3" borderId="1" xfId="3" applyFont="1" applyFill="1" applyBorder="1" applyAlignment="1">
      <alignment horizontal="right" vertical="center"/>
    </xf>
    <xf numFmtId="2" fontId="29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0" fillId="0" borderId="1" xfId="3" applyFont="1" applyFill="1" applyBorder="1" applyAlignment="1">
      <alignment horizontal="center" vertical="center" wrapText="1"/>
    </xf>
    <xf numFmtId="2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1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19" fillId="0" borderId="1" xfId="3" applyNumberFormat="1" applyFont="1" applyFill="1" applyBorder="1" applyAlignment="1">
      <alignment horizontal="center" vertical="center"/>
    </xf>
    <xf numFmtId="1" fontId="21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19" fillId="0" borderId="1" xfId="3" applyNumberFormat="1" applyFont="1" applyFill="1" applyBorder="1" applyAlignment="1">
      <alignment horizontal="center" vertical="center"/>
    </xf>
    <xf numFmtId="1" fontId="20" fillId="0" borderId="1" xfId="3" applyNumberFormat="1" applyFont="1" applyFill="1" applyBorder="1" applyAlignment="1">
      <alignment horizontal="center" vertical="center"/>
    </xf>
    <xf numFmtId="1" fontId="21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19" fillId="0" borderId="1" xfId="2" applyNumberFormat="1" applyFont="1" applyFill="1" applyBorder="1" applyAlignment="1" applyProtection="1">
      <alignment horizontal="right" vertical="center" wrapText="1"/>
      <protection hidden="1"/>
    </xf>
    <xf numFmtId="49" fontId="21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21" fillId="0" borderId="7" xfId="2" applyNumberFormat="1" applyFont="1" applyFill="1" applyBorder="1" applyAlignment="1" applyProtection="1">
      <alignment horizontal="right" vertical="center" wrapText="1"/>
      <protection hidden="1"/>
    </xf>
    <xf numFmtId="1" fontId="21" fillId="0" borderId="7" xfId="2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31" fillId="0" borderId="0" xfId="0" applyFont="1"/>
    <xf numFmtId="0" fontId="32" fillId="0" borderId="0" xfId="0" applyFont="1"/>
    <xf numFmtId="164" fontId="9" fillId="2" borderId="1" xfId="0" applyNumberFormat="1" applyFont="1" applyFill="1" applyBorder="1"/>
    <xf numFmtId="0" fontId="0" fillId="0" borderId="1" xfId="0" applyBorder="1"/>
    <xf numFmtId="0" fontId="35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2" fontId="34" fillId="0" borderId="0" xfId="0" applyNumberFormat="1" applyFont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2" fontId="12" fillId="2" borderId="1" xfId="4" applyNumberFormat="1" applyFont="1" applyFill="1" applyBorder="1" applyAlignment="1" applyProtection="1">
      <alignment horizontal="left" vertical="center" wrapText="1"/>
      <protection hidden="1"/>
    </xf>
    <xf numFmtId="0" fontId="6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6" fillId="0" borderId="7" xfId="0" applyFont="1" applyBorder="1" applyAlignment="1">
      <alignment horizontal="center" vertical="center" wrapText="1"/>
    </xf>
    <xf numFmtId="2" fontId="10" fillId="0" borderId="7" xfId="4" applyNumberFormat="1" applyFont="1" applyFill="1" applyBorder="1" applyAlignment="1" applyProtection="1">
      <alignment horizontal="center" vertical="center" wrapText="1"/>
      <protection hidden="1"/>
    </xf>
    <xf numFmtId="0" fontId="30" fillId="0" borderId="7" xfId="3" applyFont="1" applyFill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2" fontId="35" fillId="0" borderId="1" xfId="0" applyNumberFormat="1" applyFont="1" applyBorder="1" applyAlignment="1">
      <alignment horizontal="center"/>
    </xf>
    <xf numFmtId="2" fontId="35" fillId="0" borderId="1" xfId="0" applyNumberFormat="1" applyFont="1" applyBorder="1"/>
    <xf numFmtId="0" fontId="34" fillId="0" borderId="1" xfId="0" applyFont="1" applyBorder="1" applyAlignment="1">
      <alignment horizontal="center"/>
    </xf>
    <xf numFmtId="0" fontId="34" fillId="2" borderId="1" xfId="0" applyFont="1" applyFill="1" applyBorder="1" applyAlignment="1">
      <alignment horizontal="center"/>
    </xf>
    <xf numFmtId="2" fontId="34" fillId="0" borderId="1" xfId="0" applyNumberFormat="1" applyFont="1" applyBorder="1" applyAlignment="1">
      <alignment horizontal="center"/>
    </xf>
    <xf numFmtId="2" fontId="34" fillId="2" borderId="1" xfId="0" applyNumberFormat="1" applyFont="1" applyFill="1" applyBorder="1" applyAlignment="1">
      <alignment horizontal="center"/>
    </xf>
    <xf numFmtId="2" fontId="35" fillId="2" borderId="1" xfId="0" applyNumberFormat="1" applyFont="1" applyFill="1" applyBorder="1" applyAlignment="1">
      <alignment horizontal="center"/>
    </xf>
    <xf numFmtId="2" fontId="35" fillId="0" borderId="7" xfId="0" applyNumberFormat="1" applyFont="1" applyBorder="1" applyAlignment="1">
      <alignment horizontal="center"/>
    </xf>
    <xf numFmtId="2" fontId="35" fillId="0" borderId="0" xfId="0" applyNumberFormat="1" applyFont="1" applyBorder="1" applyAlignment="1">
      <alignment horizontal="center"/>
    </xf>
    <xf numFmtId="2" fontId="36" fillId="0" borderId="1" xfId="0" applyNumberFormat="1" applyFont="1" applyBorder="1" applyAlignment="1">
      <alignment horizontal="center"/>
    </xf>
    <xf numFmtId="2" fontId="36" fillId="2" borderId="1" xfId="0" applyNumberFormat="1" applyFont="1" applyFill="1" applyBorder="1" applyAlignment="1">
      <alignment horizontal="center"/>
    </xf>
    <xf numFmtId="0" fontId="31" fillId="0" borderId="1" xfId="0" applyFont="1" applyBorder="1"/>
    <xf numFmtId="2" fontId="31" fillId="0" borderId="1" xfId="0" applyNumberFormat="1" applyFont="1" applyBorder="1"/>
    <xf numFmtId="2" fontId="0" fillId="0" borderId="1" xfId="0" applyNumberFormat="1" applyBorder="1"/>
    <xf numFmtId="2" fontId="0" fillId="0" borderId="1" xfId="0" applyNumberFormat="1" applyBorder="1" applyAlignment="1">
      <alignment wrapText="1"/>
    </xf>
    <xf numFmtId="9" fontId="0" fillId="0" borderId="1" xfId="0" applyNumberFormat="1" applyBorder="1" applyAlignment="1">
      <alignment horizontal="center" vertical="center"/>
    </xf>
    <xf numFmtId="2" fontId="31" fillId="0" borderId="1" xfId="0" applyNumberFormat="1" applyFont="1" applyBorder="1" applyAlignment="1">
      <alignment wrapText="1"/>
    </xf>
    <xf numFmtId="0" fontId="31" fillId="0" borderId="1" xfId="0" applyFont="1" applyBorder="1" applyAlignment="1">
      <alignment wrapText="1"/>
    </xf>
    <xf numFmtId="1" fontId="0" fillId="2" borderId="1" xfId="0" applyNumberFormat="1" applyFill="1" applyBorder="1" applyAlignment="1">
      <alignment horizontal="center"/>
    </xf>
    <xf numFmtId="2" fontId="42" fillId="0" borderId="1" xfId="0" applyNumberFormat="1" applyFont="1" applyBorder="1" applyAlignment="1">
      <alignment wrapText="1"/>
    </xf>
    <xf numFmtId="2" fontId="35" fillId="2" borderId="7" xfId="0" applyNumberFormat="1" applyFont="1" applyFill="1" applyBorder="1" applyAlignment="1">
      <alignment horizontal="center"/>
    </xf>
    <xf numFmtId="2" fontId="35" fillId="0" borderId="7" xfId="0" applyNumberFormat="1" applyFont="1" applyBorder="1"/>
    <xf numFmtId="0" fontId="40" fillId="0" borderId="1" xfId="0" applyFont="1" applyBorder="1" applyAlignment="1">
      <alignment horizontal="left" vertical="center" wrapText="1"/>
    </xf>
    <xf numFmtId="0" fontId="34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wrapText="1"/>
    </xf>
    <xf numFmtId="0" fontId="43" fillId="0" borderId="0" xfId="6"/>
    <xf numFmtId="0" fontId="44" fillId="0" borderId="0" xfId="0" applyFont="1" applyAlignment="1">
      <alignment horizontal="center" vertical="center" wrapText="1"/>
    </xf>
    <xf numFmtId="0" fontId="46" fillId="0" borderId="0" xfId="0" applyFont="1"/>
    <xf numFmtId="0" fontId="7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2" fontId="0" fillId="0" borderId="0" xfId="0" applyNumberFormat="1"/>
    <xf numFmtId="0" fontId="50" fillId="0" borderId="1" xfId="0" applyFont="1" applyBorder="1"/>
    <xf numFmtId="0" fontId="50" fillId="0" borderId="1" xfId="0" applyFont="1" applyBorder="1" applyAlignment="1">
      <alignment vertical="center"/>
    </xf>
    <xf numFmtId="0" fontId="36" fillId="0" borderId="1" xfId="0" applyFont="1" applyBorder="1"/>
    <xf numFmtId="0" fontId="36" fillId="0" borderId="1" xfId="0" applyFont="1" applyBorder="1" applyAlignment="1">
      <alignment wrapText="1"/>
    </xf>
    <xf numFmtId="0" fontId="36" fillId="0" borderId="1" xfId="0" applyFont="1" applyBorder="1" applyAlignment="1">
      <alignment horizontal="center" wrapText="1"/>
    </xf>
    <xf numFmtId="2" fontId="36" fillId="0" borderId="1" xfId="0" applyNumberFormat="1" applyFont="1" applyBorder="1" applyAlignment="1">
      <alignment horizontal="center" wrapText="1"/>
    </xf>
    <xf numFmtId="0" fontId="35" fillId="0" borderId="1" xfId="0" applyFont="1" applyBorder="1"/>
    <xf numFmtId="0" fontId="51" fillId="0" borderId="0" xfId="0" applyFont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9" fontId="31" fillId="0" borderId="1" xfId="0" applyNumberFormat="1" applyFont="1" applyBorder="1"/>
    <xf numFmtId="9" fontId="31" fillId="0" borderId="1" xfId="0" applyNumberFormat="1" applyFont="1" applyBorder="1" applyAlignment="1">
      <alignment wrapText="1"/>
    </xf>
    <xf numFmtId="0" fontId="31" fillId="2" borderId="1" xfId="0" applyFont="1" applyFill="1" applyBorder="1"/>
    <xf numFmtId="0" fontId="34" fillId="3" borderId="1" xfId="0" applyFont="1" applyFill="1" applyBorder="1" applyAlignment="1">
      <alignment horizontal="center"/>
    </xf>
    <xf numFmtId="0" fontId="42" fillId="0" borderId="1" xfId="0" applyFont="1" applyBorder="1"/>
    <xf numFmtId="0" fontId="40" fillId="3" borderId="1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0" fontId="39" fillId="3" borderId="1" xfId="0" applyFont="1" applyFill="1" applyBorder="1" applyAlignment="1">
      <alignment horizontal="center"/>
    </xf>
    <xf numFmtId="0" fontId="52" fillId="2" borderId="1" xfId="0" applyFont="1" applyFill="1" applyBorder="1"/>
    <xf numFmtId="0" fontId="36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2" fontId="35" fillId="2" borderId="1" xfId="0" applyNumberFormat="1" applyFont="1" applyFill="1" applyBorder="1"/>
    <xf numFmtId="2" fontId="31" fillId="0" borderId="1" xfId="0" applyNumberFormat="1" applyFont="1" applyBorder="1" applyAlignment="1">
      <alignment horizontal="center"/>
    </xf>
    <xf numFmtId="0" fontId="0" fillId="0" borderId="8" xfId="0" applyBorder="1"/>
    <xf numFmtId="2" fontId="34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2" fontId="12" fillId="0" borderId="1" xfId="4" applyNumberFormat="1" applyFont="1" applyFill="1" applyBorder="1" applyAlignment="1" applyProtection="1">
      <alignment horizontal="left" vertical="center" wrapText="1" shrinkToFit="1"/>
      <protection hidden="1"/>
    </xf>
    <xf numFmtId="0" fontId="0" fillId="0" borderId="1" xfId="0" applyBorder="1" applyAlignment="1">
      <alignment wrapText="1" shrinkToFit="1"/>
    </xf>
    <xf numFmtId="2" fontId="3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/>
    <xf numFmtId="2" fontId="10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0" fillId="3" borderId="1" xfId="3" applyFont="1" applyFill="1" applyBorder="1" applyAlignment="1">
      <alignment horizontal="center" vertical="center" wrapText="1"/>
    </xf>
    <xf numFmtId="2" fontId="11" fillId="0" borderId="0" xfId="3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left" wrapText="1"/>
    </xf>
    <xf numFmtId="2" fontId="4" fillId="0" borderId="4" xfId="0" applyNumberFormat="1" applyFont="1" applyFill="1" applyBorder="1" applyAlignment="1">
      <alignment horizontal="left" wrapText="1"/>
    </xf>
    <xf numFmtId="2" fontId="10" fillId="0" borderId="3" xfId="4" applyNumberFormat="1" applyFont="1" applyFill="1" applyBorder="1" applyAlignment="1" applyProtection="1">
      <alignment horizontal="center" vertical="center" wrapText="1"/>
      <protection hidden="1"/>
    </xf>
    <xf numFmtId="2" fontId="10" fillId="0" borderId="6" xfId="4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4" applyNumberFormat="1" applyFont="1" applyFill="1" applyBorder="1" applyAlignment="1" applyProtection="1">
      <alignment horizontal="left" vertical="center" wrapText="1"/>
      <protection hidden="1"/>
    </xf>
    <xf numFmtId="2" fontId="6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left" vertical="center" wrapText="1"/>
    </xf>
    <xf numFmtId="0" fontId="36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2" fontId="10" fillId="0" borderId="3" xfId="4" applyNumberFormat="1" applyFont="1" applyFill="1" applyBorder="1" applyAlignment="1" applyProtection="1">
      <alignment horizontal="left" vertical="top" wrapText="1"/>
      <protection hidden="1"/>
    </xf>
    <xf numFmtId="2" fontId="10" fillId="0" borderId="9" xfId="4" applyNumberFormat="1" applyFont="1" applyFill="1" applyBorder="1" applyAlignment="1" applyProtection="1">
      <alignment horizontal="left" vertical="top" wrapText="1"/>
      <protection hidden="1"/>
    </xf>
    <xf numFmtId="0" fontId="41" fillId="0" borderId="0" xfId="0" applyFont="1" applyAlignment="1">
      <alignment horizontal="left" vertical="center" wrapText="1"/>
    </xf>
    <xf numFmtId="2" fontId="12" fillId="0" borderId="9" xfId="4" applyNumberFormat="1" applyFont="1" applyFill="1" applyBorder="1" applyAlignment="1" applyProtection="1">
      <alignment horizontal="center" vertical="top" wrapText="1"/>
      <protection hidden="1"/>
    </xf>
    <xf numFmtId="0" fontId="0" fillId="0" borderId="9" xfId="0" applyBorder="1" applyAlignment="1">
      <alignment horizontal="center" vertical="top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_ПП" xfId="2"/>
    <cellStyle name="Обычный_Расчёт платы за сод. 38 домов УГХ" xfId="3"/>
    <cellStyle name="Обычный_Свод_0" xfId="4"/>
    <cellStyle name="Процентный" xfId="5" builtinId="5"/>
  </cellStyles>
  <dxfs count="0"/>
  <tableStyles count="0" defaultTableStyle="TableStyleMedium9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sudact.ru/law/prikaz-minzhilkomkhoza-rsfsr-ot-20091983-n-454/normativy-chislennosti-rabotnikov-dezhurnoi-remontnoi/" TargetMode="External"/><Relationship Id="rId2" Type="http://schemas.openxmlformats.org/officeDocument/2006/relationships/hyperlink" Target="https://cnis.ru/shop/article/108" TargetMode="External"/><Relationship Id="rId1" Type="http://schemas.openxmlformats.org/officeDocument/2006/relationships/hyperlink" Target="https://legalacts.ru/doc/rekomendatsii-po-normirovaniiu-materialnykh-resursov-na-soderzhanie-i-remont_1/" TargetMode="External"/><Relationship Id="rId6" Type="http://schemas.openxmlformats.org/officeDocument/2006/relationships/comments" Target="../comments3.xm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S148"/>
  <sheetViews>
    <sheetView view="pageBreakPreview" topLeftCell="A61" zoomScaleSheetLayoutView="100" workbookViewId="0"/>
  </sheetViews>
  <sheetFormatPr defaultRowHeight="12.75" outlineLevelRow="1" outlineLevelCol="2"/>
  <cols>
    <col min="1" max="1" width="5.140625" style="63" customWidth="1" outlineLevel="1"/>
    <col min="2" max="2" width="50.28515625" style="64" customWidth="1"/>
    <col min="3" max="3" width="16.28515625" style="130" customWidth="1"/>
    <col min="4" max="4" width="18.7109375" style="65" customWidth="1" outlineLevel="1"/>
    <col min="5" max="5" width="13.85546875" style="24" customWidth="1" outlineLevel="1"/>
    <col min="6" max="6" width="8.85546875" style="24" customWidth="1" outlineLevel="1"/>
    <col min="7" max="8" width="8.7109375" style="24" customWidth="1" outlineLevel="1"/>
    <col min="9" max="9" width="6.28515625" style="24" customWidth="1" outlineLevel="1"/>
    <col min="10" max="10" width="7.5703125" style="24" customWidth="1" outlineLevel="1"/>
    <col min="11" max="11" width="7.42578125" style="24" customWidth="1" outlineLevel="1"/>
    <col min="12" max="12" width="13.28515625" style="24" customWidth="1" outlineLevel="1"/>
    <col min="13" max="13" width="9" style="24" customWidth="1" outlineLevel="1"/>
    <col min="14" max="14" width="10" style="24" customWidth="1" outlineLevel="1"/>
    <col min="15" max="15" width="11.140625" style="24" customWidth="1" outlineLevel="1"/>
    <col min="16" max="16" width="8.42578125" style="24" customWidth="1" outlineLevel="1"/>
    <col min="17" max="17" width="15.5703125" style="24" customWidth="1" outlineLevel="1"/>
    <col min="18" max="18" width="7.5703125" style="24" customWidth="1" outlineLevel="1"/>
    <col min="19" max="19" width="6.28515625" style="24" customWidth="1" outlineLevel="1"/>
    <col min="20" max="22" width="9.5703125" style="24" customWidth="1" outlineLevel="1"/>
    <col min="23" max="23" width="4.42578125" style="24" customWidth="1" outlineLevel="1"/>
    <col min="24" max="24" width="8.5703125" style="24" customWidth="1" outlineLevel="1"/>
    <col min="25" max="25" width="8" style="24" customWidth="1" outlineLevel="1"/>
    <col min="26" max="26" width="9.140625" style="24" customWidth="1" outlineLevel="1"/>
    <col min="27" max="27" width="8.85546875" style="24" customWidth="1" outlineLevel="1"/>
    <col min="28" max="28" width="8.140625" style="66" customWidth="1" outlineLevel="1" collapsed="1"/>
    <col min="29" max="29" width="12.7109375" style="84" customWidth="1"/>
    <col min="30" max="30" width="15.140625" style="84" customWidth="1" collapsed="1"/>
    <col min="31" max="31" width="11.7109375" style="84" customWidth="1" outlineLevel="2"/>
    <col min="32" max="32" width="12.7109375" style="84" customWidth="1"/>
    <col min="33" max="33" width="16" style="84" customWidth="1" collapsed="1"/>
    <col min="34" max="34" width="11.7109375" style="84" hidden="1" customWidth="1" outlineLevel="2"/>
    <col min="35" max="35" width="9.140625" style="26" collapsed="1"/>
    <col min="36" max="16384" width="9.140625" style="26"/>
  </cols>
  <sheetData>
    <row r="2" spans="1:34" s="72" customFormat="1" ht="15.75">
      <c r="A2" s="71"/>
      <c r="B2" s="261" t="s">
        <v>272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86"/>
      <c r="AD2" s="86"/>
      <c r="AE2" s="86"/>
      <c r="AF2" s="86"/>
      <c r="AG2" s="86"/>
      <c r="AH2" s="86"/>
    </row>
    <row r="3" spans="1:34" s="72" customFormat="1" ht="15.75">
      <c r="A3" s="71"/>
      <c r="B3" s="261" t="s">
        <v>129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86"/>
      <c r="AD3" s="86"/>
      <c r="AE3" s="86"/>
      <c r="AF3" s="86"/>
      <c r="AG3" s="86"/>
      <c r="AH3" s="86"/>
    </row>
    <row r="4" spans="1:34" s="72" customFormat="1" ht="15.75">
      <c r="A4" s="71"/>
      <c r="B4" s="259" t="s">
        <v>131</v>
      </c>
      <c r="C4" s="259"/>
      <c r="D4" s="259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86"/>
      <c r="AD4" s="86"/>
      <c r="AE4" s="86"/>
      <c r="AF4" s="86"/>
      <c r="AG4" s="86"/>
      <c r="AH4" s="86"/>
    </row>
    <row r="5" spans="1:34" s="120" customFormat="1" ht="46.5" customHeight="1">
      <c r="A5" s="151"/>
      <c r="B5" s="152" t="s">
        <v>270</v>
      </c>
      <c r="C5" s="152" t="s">
        <v>135</v>
      </c>
      <c r="D5" s="152"/>
      <c r="E5" s="153"/>
      <c r="F5" s="153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3"/>
      <c r="AC5" s="260" t="s">
        <v>271</v>
      </c>
      <c r="AD5" s="260"/>
      <c r="AE5" s="260"/>
      <c r="AF5" s="260" t="s">
        <v>271</v>
      </c>
      <c r="AG5" s="260"/>
      <c r="AH5" s="260"/>
    </row>
    <row r="6" spans="1:34" ht="15" customHeight="1" outlineLevel="1">
      <c r="A6" s="110"/>
      <c r="B6" s="28" t="s">
        <v>267</v>
      </c>
      <c r="C6" s="127"/>
      <c r="D6" s="3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37"/>
      <c r="AC6" s="83"/>
      <c r="AD6" s="88">
        <f>368.5+26.7</f>
        <v>395.2</v>
      </c>
      <c r="AE6" s="88"/>
      <c r="AF6" s="83"/>
      <c r="AG6" s="166">
        <v>524.70000000000005</v>
      </c>
      <c r="AH6" s="88"/>
    </row>
    <row r="7" spans="1:34" ht="15" customHeight="1" outlineLevel="1">
      <c r="A7" s="119"/>
      <c r="B7" s="76" t="s">
        <v>128</v>
      </c>
      <c r="C7" s="121"/>
      <c r="D7" s="35"/>
      <c r="E7" s="36"/>
      <c r="F7" s="36"/>
      <c r="AB7" s="38"/>
      <c r="AC7" s="77"/>
      <c r="AD7" s="143">
        <v>56.2</v>
      </c>
      <c r="AE7" s="89"/>
      <c r="AF7" s="77"/>
      <c r="AG7" s="166">
        <v>53.5</v>
      </c>
      <c r="AH7" s="89"/>
    </row>
    <row r="8" spans="1:34" ht="15" customHeight="1" outlineLevel="1">
      <c r="A8" s="25"/>
      <c r="B8" s="28" t="s">
        <v>127</v>
      </c>
      <c r="C8" s="121"/>
      <c r="D8" s="35"/>
      <c r="E8" s="27"/>
      <c r="F8" s="27"/>
      <c r="AB8" s="38"/>
      <c r="AC8" s="77"/>
      <c r="AD8" s="140">
        <f>AD7</f>
        <v>56.2</v>
      </c>
      <c r="AE8" s="88"/>
      <c r="AF8" s="77"/>
      <c r="AG8" s="140">
        <f>AG7</f>
        <v>53.5</v>
      </c>
      <c r="AH8" s="88"/>
    </row>
    <row r="9" spans="1:34" ht="15" customHeight="1" outlineLevel="1">
      <c r="A9" s="25"/>
      <c r="B9" s="28" t="s">
        <v>126</v>
      </c>
      <c r="C9" s="121"/>
      <c r="D9" s="35"/>
      <c r="E9" s="27"/>
      <c r="F9" s="27"/>
      <c r="AB9" s="38"/>
      <c r="AC9" s="77"/>
      <c r="AD9" s="140">
        <f>AD8-AD10</f>
        <v>56.2</v>
      </c>
      <c r="AE9" s="88"/>
      <c r="AF9" s="77"/>
      <c r="AG9" s="140">
        <f>AG8-AG10</f>
        <v>53.5</v>
      </c>
      <c r="AH9" s="88"/>
    </row>
    <row r="10" spans="1:34" ht="15" customHeight="1" outlineLevel="1">
      <c r="A10" s="25"/>
      <c r="B10" s="28" t="s">
        <v>125</v>
      </c>
      <c r="C10" s="121"/>
      <c r="D10" s="35"/>
      <c r="E10" s="27"/>
      <c r="F10" s="27"/>
      <c r="AB10" s="38"/>
      <c r="AC10" s="77"/>
      <c r="AD10" s="88"/>
      <c r="AE10" s="88"/>
      <c r="AF10" s="77"/>
      <c r="AG10" s="88"/>
      <c r="AH10" s="88"/>
    </row>
    <row r="11" spans="1:34" ht="15" customHeight="1" outlineLevel="1">
      <c r="A11" s="25"/>
      <c r="B11" s="28" t="s">
        <v>214</v>
      </c>
      <c r="C11" s="121"/>
      <c r="D11" s="35"/>
      <c r="E11" s="27"/>
      <c r="F11" s="27"/>
      <c r="AB11" s="38"/>
      <c r="AC11" s="77"/>
      <c r="AD11" s="88"/>
      <c r="AE11" s="88"/>
      <c r="AF11" s="77"/>
      <c r="AG11" s="88"/>
      <c r="AH11" s="88"/>
    </row>
    <row r="12" spans="1:34" s="43" customFormat="1" ht="12" customHeight="1" outlineLevel="1">
      <c r="A12" s="29"/>
      <c r="B12" s="28" t="s">
        <v>124</v>
      </c>
      <c r="C12" s="122"/>
      <c r="D12" s="39"/>
      <c r="E12" s="40"/>
      <c r="F12" s="40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2"/>
      <c r="AC12" s="78"/>
      <c r="AD12" s="139">
        <f>(AD6+AD7)/AD20</f>
        <v>225.7</v>
      </c>
      <c r="AE12" s="90"/>
      <c r="AF12" s="78"/>
      <c r="AG12" s="139">
        <f>(AG6+AG7)/AG20</f>
        <v>289.10000000000002</v>
      </c>
      <c r="AH12" s="90"/>
    </row>
    <row r="13" spans="1:34" ht="25.5" customHeight="1" outlineLevel="1">
      <c r="A13" s="25"/>
      <c r="B13" s="28" t="s">
        <v>268</v>
      </c>
      <c r="C13" s="121"/>
      <c r="D13" s="35"/>
      <c r="E13" s="27"/>
      <c r="F13" s="27"/>
      <c r="AB13" s="38"/>
      <c r="AC13" s="77"/>
      <c r="AD13" s="91">
        <v>0</v>
      </c>
      <c r="AE13" s="91"/>
      <c r="AF13" s="77"/>
      <c r="AG13" s="91">
        <v>0</v>
      </c>
      <c r="AH13" s="91"/>
    </row>
    <row r="14" spans="1:34" ht="15" customHeight="1" outlineLevel="1">
      <c r="A14" s="25"/>
      <c r="B14" s="28" t="s">
        <v>123</v>
      </c>
      <c r="C14" s="121"/>
      <c r="D14" s="35"/>
      <c r="E14" s="27"/>
      <c r="F14" s="27"/>
      <c r="AB14" s="38"/>
      <c r="AC14" s="77"/>
      <c r="AD14" s="91">
        <v>1332.2</v>
      </c>
      <c r="AE14" s="91"/>
      <c r="AF14" s="77"/>
      <c r="AG14" s="91">
        <v>1555</v>
      </c>
      <c r="AH14" s="91"/>
    </row>
    <row r="15" spans="1:34" s="43" customFormat="1" ht="12" customHeight="1" outlineLevel="1">
      <c r="A15" s="29"/>
      <c r="B15" s="28" t="s">
        <v>213</v>
      </c>
      <c r="C15" s="122"/>
      <c r="D15" s="39"/>
      <c r="E15" s="40"/>
      <c r="F15" s="40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2"/>
      <c r="AC15" s="78"/>
      <c r="AD15" s="88">
        <v>5.3</v>
      </c>
      <c r="AE15" s="88"/>
      <c r="AF15" s="78"/>
      <c r="AG15" s="87">
        <v>56.9</v>
      </c>
      <c r="AH15" s="88"/>
    </row>
    <row r="16" spans="1:34" s="43" customFormat="1" ht="12" customHeight="1" outlineLevel="1">
      <c r="A16" s="29"/>
      <c r="B16" s="28" t="s">
        <v>122</v>
      </c>
      <c r="C16" s="122"/>
      <c r="D16" s="39"/>
      <c r="E16" s="40"/>
      <c r="F16" s="40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2"/>
      <c r="AC16" s="78"/>
      <c r="AD16" s="93">
        <f>IF(AE28=1,(AD14-(AD6+AD7)/AD20-AD15)*0.2,0)</f>
        <v>220.24</v>
      </c>
      <c r="AE16" s="87"/>
      <c r="AF16" s="78"/>
      <c r="AG16" s="93">
        <f>IF(AH28=1,(AG14-(AG7+AG8)/AG20-AG15)*0.2,0)</f>
        <v>288.92</v>
      </c>
      <c r="AH16" s="87"/>
    </row>
    <row r="17" spans="1:34" s="43" customFormat="1" ht="37.5" customHeight="1" outlineLevel="1">
      <c r="A17" s="29"/>
      <c r="B17" s="28" t="s">
        <v>269</v>
      </c>
      <c r="C17" s="122"/>
      <c r="D17" s="39"/>
      <c r="E17" s="40"/>
      <c r="F17" s="40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2"/>
      <c r="AC17" s="78"/>
      <c r="AD17" s="155">
        <f>8.58/2</f>
        <v>4.29</v>
      </c>
      <c r="AE17" s="92"/>
      <c r="AF17" s="78"/>
      <c r="AG17" s="93">
        <v>4.16</v>
      </c>
      <c r="AH17" s="92"/>
    </row>
    <row r="18" spans="1:34" ht="15" outlineLevel="1">
      <c r="A18" s="25"/>
      <c r="B18" s="28" t="s">
        <v>121</v>
      </c>
      <c r="C18" s="121"/>
      <c r="D18" s="35"/>
      <c r="E18" s="40"/>
      <c r="F18" s="40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38"/>
      <c r="AC18" s="77"/>
      <c r="AD18" s="156" t="s">
        <v>120</v>
      </c>
      <c r="AE18" s="91"/>
      <c r="AF18" s="77"/>
      <c r="AG18" s="156" t="s">
        <v>273</v>
      </c>
      <c r="AH18" s="91"/>
    </row>
    <row r="19" spans="1:34" s="48" customFormat="1" ht="15" customHeight="1" outlineLevel="1">
      <c r="A19" s="25"/>
      <c r="B19" s="34" t="s">
        <v>119</v>
      </c>
      <c r="C19" s="123"/>
      <c r="D19" s="44"/>
      <c r="E19" s="45"/>
      <c r="F19" s="45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7"/>
      <c r="AC19" s="79"/>
      <c r="AD19" s="94" t="s">
        <v>118</v>
      </c>
      <c r="AE19" s="94"/>
      <c r="AF19" s="79"/>
      <c r="AG19" s="167" t="s">
        <v>274</v>
      </c>
      <c r="AH19" s="94"/>
    </row>
    <row r="20" spans="1:34" ht="15" customHeight="1" outlineLevel="1">
      <c r="A20" s="25"/>
      <c r="B20" s="28" t="s">
        <v>117</v>
      </c>
      <c r="C20" s="121"/>
      <c r="D20" s="35"/>
      <c r="E20" s="40"/>
      <c r="F20" s="40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38"/>
      <c r="AC20" s="77"/>
      <c r="AD20" s="96">
        <v>2</v>
      </c>
      <c r="AE20" s="96"/>
      <c r="AF20" s="77"/>
      <c r="AG20" s="95">
        <v>2</v>
      </c>
      <c r="AH20" s="96"/>
    </row>
    <row r="21" spans="1:34" ht="15" customHeight="1" outlineLevel="1">
      <c r="A21" s="25"/>
      <c r="B21" s="28" t="s">
        <v>116</v>
      </c>
      <c r="C21" s="121"/>
      <c r="D21" s="35"/>
      <c r="E21" s="27"/>
      <c r="F21" s="27"/>
      <c r="AB21" s="38"/>
      <c r="AC21" s="77"/>
      <c r="AD21" s="96">
        <v>2</v>
      </c>
      <c r="AE21" s="96"/>
      <c r="AF21" s="77"/>
      <c r="AG21" s="95">
        <v>2</v>
      </c>
      <c r="AH21" s="96"/>
    </row>
    <row r="22" spans="1:34" ht="15" customHeight="1" outlineLevel="1">
      <c r="A22" s="25"/>
      <c r="B22" s="28" t="s">
        <v>115</v>
      </c>
      <c r="C22" s="121"/>
      <c r="D22" s="35"/>
      <c r="E22" s="27"/>
      <c r="F22" s="27"/>
      <c r="AB22" s="38"/>
      <c r="AC22" s="77"/>
      <c r="AD22" s="96">
        <v>2</v>
      </c>
      <c r="AE22" s="96"/>
      <c r="AF22" s="77"/>
      <c r="AG22" s="95">
        <v>2</v>
      </c>
      <c r="AH22" s="96"/>
    </row>
    <row r="23" spans="1:34" s="43" customFormat="1" ht="12.75" customHeight="1" outlineLevel="1">
      <c r="A23" s="29"/>
      <c r="B23" s="28" t="s">
        <v>114</v>
      </c>
      <c r="C23" s="122"/>
      <c r="D23" s="39"/>
      <c r="E23" s="27"/>
      <c r="F23" s="27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42"/>
      <c r="AC23" s="78"/>
      <c r="AD23" s="100">
        <v>4</v>
      </c>
      <c r="AE23" s="100"/>
      <c r="AF23" s="78"/>
      <c r="AG23" s="99">
        <v>4</v>
      </c>
      <c r="AH23" s="100"/>
    </row>
    <row r="24" spans="1:34" s="43" customFormat="1" ht="15" customHeight="1" outlineLevel="1">
      <c r="A24" s="29"/>
      <c r="B24" s="28" t="s">
        <v>113</v>
      </c>
      <c r="C24" s="124"/>
      <c r="D24" s="49"/>
      <c r="E24" s="27"/>
      <c r="F24" s="27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50"/>
      <c r="AC24" s="80"/>
      <c r="AD24" s="89"/>
      <c r="AE24" s="89"/>
      <c r="AF24" s="80"/>
      <c r="AG24" s="89"/>
      <c r="AH24" s="89"/>
    </row>
    <row r="25" spans="1:34" s="43" customFormat="1" ht="15" customHeight="1" outlineLevel="1">
      <c r="A25" s="29"/>
      <c r="B25" s="28" t="s">
        <v>112</v>
      </c>
      <c r="C25" s="125"/>
      <c r="D25" s="51"/>
      <c r="E25" s="40"/>
      <c r="F25" s="40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52"/>
      <c r="AC25" s="80"/>
      <c r="AD25" s="89"/>
      <c r="AE25" s="89"/>
      <c r="AF25" s="80"/>
      <c r="AG25" s="89"/>
      <c r="AH25" s="89"/>
    </row>
    <row r="26" spans="1:34" s="30" customFormat="1" ht="12.75" customHeight="1" outlineLevel="1">
      <c r="A26" s="32"/>
      <c r="B26" s="33" t="s">
        <v>111</v>
      </c>
      <c r="C26" s="126"/>
      <c r="D26" s="31"/>
      <c r="E26" s="27"/>
      <c r="F26" s="27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53"/>
      <c r="AC26" s="81"/>
      <c r="AD26" s="102">
        <v>11</v>
      </c>
      <c r="AE26" s="102"/>
      <c r="AF26" s="81"/>
      <c r="AG26" s="101">
        <v>12</v>
      </c>
      <c r="AH26" s="102"/>
    </row>
    <row r="27" spans="1:34" s="30" customFormat="1" ht="12.75" customHeight="1" outlineLevel="1">
      <c r="A27" s="32"/>
      <c r="B27" s="28" t="s">
        <v>110</v>
      </c>
      <c r="C27" s="126"/>
      <c r="D27" s="31"/>
      <c r="E27" s="27"/>
      <c r="F27" s="27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53"/>
      <c r="AC27" s="81"/>
      <c r="AD27" s="102">
        <v>36</v>
      </c>
      <c r="AE27" s="102"/>
      <c r="AF27" s="81"/>
      <c r="AG27" s="101">
        <v>27</v>
      </c>
      <c r="AH27" s="102"/>
    </row>
    <row r="28" spans="1:34" s="30" customFormat="1" ht="12.75" customHeight="1" outlineLevel="1">
      <c r="A28" s="32"/>
      <c r="B28" s="28" t="s">
        <v>109</v>
      </c>
      <c r="C28" s="126"/>
      <c r="D28" s="31"/>
      <c r="E28" s="27"/>
      <c r="F28" s="27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53"/>
      <c r="AC28" s="81"/>
      <c r="AD28" s="102" t="s">
        <v>108</v>
      </c>
      <c r="AE28" s="102">
        <v>1</v>
      </c>
      <c r="AF28" s="81"/>
      <c r="AG28" s="101" t="s">
        <v>108</v>
      </c>
      <c r="AH28" s="163">
        <v>1</v>
      </c>
    </row>
    <row r="29" spans="1:34" ht="13.5" customHeight="1" outlineLevel="1">
      <c r="A29" s="25"/>
      <c r="B29" s="28" t="s">
        <v>107</v>
      </c>
      <c r="C29" s="121"/>
      <c r="D29" s="35"/>
      <c r="E29" s="27"/>
      <c r="F29" s="27"/>
      <c r="AB29" s="38"/>
      <c r="AC29" s="77"/>
      <c r="AD29" s="91" t="s">
        <v>106</v>
      </c>
      <c r="AE29" s="91"/>
      <c r="AF29" s="77"/>
      <c r="AG29" s="91" t="s">
        <v>106</v>
      </c>
      <c r="AH29" s="160"/>
    </row>
    <row r="30" spans="1:34" ht="15" customHeight="1" outlineLevel="1">
      <c r="A30" s="25"/>
      <c r="B30" s="28" t="s">
        <v>105</v>
      </c>
      <c r="C30" s="121"/>
      <c r="D30" s="35"/>
      <c r="E30" s="27"/>
      <c r="F30" s="27"/>
      <c r="AB30" s="38"/>
      <c r="AC30" s="77"/>
      <c r="AD30" s="103" t="s">
        <v>93</v>
      </c>
      <c r="AE30" s="97">
        <v>1</v>
      </c>
      <c r="AF30" s="77"/>
      <c r="AG30" s="103" t="s">
        <v>93</v>
      </c>
      <c r="AH30" s="164">
        <v>1</v>
      </c>
    </row>
    <row r="31" spans="1:34" ht="15" customHeight="1" outlineLevel="1">
      <c r="A31" s="25"/>
      <c r="B31" s="28" t="s">
        <v>104</v>
      </c>
      <c r="C31" s="121"/>
      <c r="D31" s="35"/>
      <c r="E31" s="27"/>
      <c r="F31" s="27"/>
      <c r="AB31" s="38"/>
      <c r="AC31" s="77"/>
      <c r="AD31" s="95" t="s">
        <v>103</v>
      </c>
      <c r="AE31" s="95">
        <v>2</v>
      </c>
      <c r="AF31" s="77"/>
      <c r="AG31" s="91" t="s">
        <v>93</v>
      </c>
      <c r="AH31" s="162">
        <v>1</v>
      </c>
    </row>
    <row r="32" spans="1:34" ht="19.5" customHeight="1" outlineLevel="1">
      <c r="A32" s="25"/>
      <c r="B32" s="28" t="s">
        <v>102</v>
      </c>
      <c r="C32" s="121"/>
      <c r="D32" s="35"/>
      <c r="E32" s="40"/>
      <c r="F32" s="40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38"/>
      <c r="AC32" s="77"/>
      <c r="AD32" s="95" t="s">
        <v>101</v>
      </c>
      <c r="AE32" s="95">
        <v>2</v>
      </c>
      <c r="AF32" s="77"/>
      <c r="AG32" s="91" t="s">
        <v>93</v>
      </c>
      <c r="AH32" s="162">
        <v>1</v>
      </c>
    </row>
    <row r="33" spans="1:34" ht="22.5" customHeight="1" outlineLevel="1">
      <c r="A33" s="25"/>
      <c r="B33" s="28" t="s">
        <v>100</v>
      </c>
      <c r="C33" s="121"/>
      <c r="D33" s="35"/>
      <c r="E33" s="40"/>
      <c r="F33" s="40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38"/>
      <c r="AC33" s="77"/>
      <c r="AD33" s="91" t="s">
        <v>99</v>
      </c>
      <c r="AE33" s="97">
        <v>4</v>
      </c>
      <c r="AF33" s="77"/>
      <c r="AG33" s="91" t="s">
        <v>275</v>
      </c>
      <c r="AH33" s="162">
        <v>3</v>
      </c>
    </row>
    <row r="34" spans="1:34" s="43" customFormat="1" ht="12.75" customHeight="1" outlineLevel="1">
      <c r="A34" s="29"/>
      <c r="B34" s="28" t="s">
        <v>98</v>
      </c>
      <c r="C34" s="122"/>
      <c r="D34" s="39"/>
      <c r="E34" s="27"/>
      <c r="F34" s="27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42"/>
      <c r="AC34" s="78"/>
      <c r="AD34" s="88">
        <v>1</v>
      </c>
      <c r="AE34" s="88"/>
      <c r="AF34" s="78"/>
      <c r="AG34" s="87">
        <v>2</v>
      </c>
      <c r="AH34" s="159"/>
    </row>
    <row r="35" spans="1:34" s="43" customFormat="1" ht="12.75" customHeight="1" outlineLevel="1">
      <c r="A35" s="29"/>
      <c r="B35" s="28" t="s">
        <v>97</v>
      </c>
      <c r="C35" s="122"/>
      <c r="D35" s="39"/>
      <c r="E35" s="27"/>
      <c r="F35" s="27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42"/>
      <c r="AC35" s="78"/>
      <c r="AD35" s="88">
        <v>12</v>
      </c>
      <c r="AE35" s="88"/>
      <c r="AF35" s="78"/>
      <c r="AG35" s="93">
        <v>60</v>
      </c>
      <c r="AH35" s="161"/>
    </row>
    <row r="36" spans="1:34" ht="26.25" customHeight="1" outlineLevel="1">
      <c r="A36" s="25"/>
      <c r="B36" s="28" t="s">
        <v>96</v>
      </c>
      <c r="C36" s="121"/>
      <c r="D36" s="35"/>
      <c r="E36" s="27"/>
      <c r="F36" s="27"/>
      <c r="AB36" s="38"/>
      <c r="AC36" s="77"/>
      <c r="AD36" s="91" t="s">
        <v>95</v>
      </c>
      <c r="AE36" s="95">
        <v>1</v>
      </c>
      <c r="AF36" s="77"/>
      <c r="AG36" s="91" t="s">
        <v>95</v>
      </c>
      <c r="AH36" s="162">
        <v>1</v>
      </c>
    </row>
    <row r="37" spans="1:34" ht="15" customHeight="1" outlineLevel="1">
      <c r="A37" s="25"/>
      <c r="B37" s="28" t="s">
        <v>94</v>
      </c>
      <c r="C37" s="121"/>
      <c r="D37" s="35"/>
      <c r="E37" s="27"/>
      <c r="F37" s="27"/>
      <c r="AB37" s="23"/>
      <c r="AC37" s="82"/>
      <c r="AD37" s="168" t="s">
        <v>93</v>
      </c>
      <c r="AE37" s="169">
        <v>1</v>
      </c>
      <c r="AF37" s="82"/>
      <c r="AG37" s="168" t="s">
        <v>93</v>
      </c>
      <c r="AH37" s="165">
        <v>1</v>
      </c>
    </row>
    <row r="38" spans="1:34" s="107" customFormat="1" ht="66.75" customHeight="1">
      <c r="A38" s="151" t="s">
        <v>92</v>
      </c>
      <c r="B38" s="157" t="s">
        <v>130</v>
      </c>
      <c r="C38" s="117" t="s">
        <v>135</v>
      </c>
      <c r="D38" s="22" t="s">
        <v>91</v>
      </c>
      <c r="E38" s="22" t="s">
        <v>90</v>
      </c>
      <c r="F38" s="22" t="s">
        <v>89</v>
      </c>
      <c r="G38" s="22" t="s">
        <v>88</v>
      </c>
      <c r="H38" s="22" t="s">
        <v>87</v>
      </c>
      <c r="I38" s="22" t="s">
        <v>86</v>
      </c>
      <c r="J38" s="22" t="s">
        <v>85</v>
      </c>
      <c r="K38" s="22" t="s">
        <v>84</v>
      </c>
      <c r="L38" s="22" t="s">
        <v>83</v>
      </c>
      <c r="M38" s="22" t="s">
        <v>82</v>
      </c>
      <c r="N38" s="22" t="s">
        <v>81</v>
      </c>
      <c r="O38" s="22" t="s">
        <v>80</v>
      </c>
      <c r="P38" s="22" t="s">
        <v>79</v>
      </c>
      <c r="Q38" s="22" t="s">
        <v>78</v>
      </c>
      <c r="R38" s="22" t="s">
        <v>77</v>
      </c>
      <c r="S38" s="22" t="s">
        <v>76</v>
      </c>
      <c r="T38" s="22" t="s">
        <v>75</v>
      </c>
      <c r="U38" s="22" t="s">
        <v>74</v>
      </c>
      <c r="V38" s="22" t="s">
        <v>73</v>
      </c>
      <c r="W38" s="22" t="s">
        <v>72</v>
      </c>
      <c r="X38" s="22" t="s">
        <v>71</v>
      </c>
      <c r="Y38" s="22" t="s">
        <v>70</v>
      </c>
      <c r="Z38" s="22"/>
      <c r="AA38" s="22" t="s">
        <v>69</v>
      </c>
      <c r="AB38" s="22" t="s">
        <v>69</v>
      </c>
      <c r="AC38" s="158" t="s">
        <v>132</v>
      </c>
      <c r="AD38" s="158" t="s">
        <v>134</v>
      </c>
      <c r="AE38" s="158" t="s">
        <v>133</v>
      </c>
      <c r="AF38" s="158" t="s">
        <v>132</v>
      </c>
      <c r="AG38" s="158" t="s">
        <v>134</v>
      </c>
      <c r="AH38" s="158" t="s">
        <v>133</v>
      </c>
    </row>
    <row r="39" spans="1:34" ht="25.5" customHeight="1">
      <c r="A39" s="117"/>
      <c r="B39" s="117" t="s">
        <v>68</v>
      </c>
      <c r="C39" s="117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118">
        <f t="shared" ref="AC39:AE39" si="0">AC40+AC59+AC104+AC139</f>
        <v>323821.77119999996</v>
      </c>
      <c r="AD39" s="133">
        <f t="shared" si="0"/>
        <v>69.372256072874492</v>
      </c>
      <c r="AE39" s="118">
        <f t="shared" si="0"/>
        <v>27415.9156</v>
      </c>
      <c r="AF39" s="118">
        <f t="shared" ref="AF39:AH39" si="1">AF40+AF59+AF104+AF139</f>
        <v>348900.09840000002</v>
      </c>
      <c r="AG39" s="133">
        <f>AG40+AG59+AG104+AG139</f>
        <v>55.412632361349345</v>
      </c>
      <c r="AH39" s="118">
        <f t="shared" si="1"/>
        <v>29075.008200000004</v>
      </c>
    </row>
    <row r="40" spans="1:34" s="6" customFormat="1" ht="41.25" customHeight="1">
      <c r="A40" s="264" t="s">
        <v>138</v>
      </c>
      <c r="B40" s="265"/>
      <c r="C40" s="54"/>
      <c r="D40" s="12"/>
      <c r="E40" s="12"/>
      <c r="F40" s="12"/>
      <c r="G40" s="8"/>
      <c r="H40" s="8"/>
      <c r="I40" s="8"/>
      <c r="J40" s="8"/>
      <c r="K40" s="8"/>
      <c r="L40" s="8"/>
      <c r="M40" s="8"/>
      <c r="N40" s="8"/>
      <c r="O40" s="8"/>
      <c r="P40" s="8"/>
      <c r="Q40" s="18"/>
      <c r="R40" s="8"/>
      <c r="S40" s="8"/>
      <c r="T40" s="8"/>
      <c r="U40" s="8"/>
      <c r="V40" s="8"/>
      <c r="W40" s="8"/>
      <c r="X40" s="8"/>
      <c r="Y40" s="8"/>
      <c r="Z40" s="8"/>
      <c r="AA40" s="112"/>
      <c r="AB40" s="7"/>
      <c r="AC40" s="108">
        <f t="shared" ref="AC40:AE40" si="2">AC41+AC54</f>
        <v>14606.591999999999</v>
      </c>
      <c r="AD40" s="108">
        <f>AD41+AD54</f>
        <v>4.17</v>
      </c>
      <c r="AE40" s="108">
        <f t="shared" si="2"/>
        <v>1647.9839999999999</v>
      </c>
      <c r="AF40" s="108">
        <f t="shared" ref="AF40:AH40" si="3">AF41+AF54</f>
        <v>26255.988000000005</v>
      </c>
      <c r="AG40" s="108">
        <f t="shared" si="3"/>
        <v>4.17</v>
      </c>
      <c r="AH40" s="108">
        <f t="shared" si="3"/>
        <v>2187.9990000000003</v>
      </c>
    </row>
    <row r="41" spans="1:34" s="75" customFormat="1" ht="12">
      <c r="A41" s="13" t="s">
        <v>203</v>
      </c>
      <c r="B41" s="20" t="s">
        <v>149</v>
      </c>
      <c r="C41" s="267" t="s">
        <v>10</v>
      </c>
      <c r="D41" s="59" t="s">
        <v>0</v>
      </c>
      <c r="E41" s="12"/>
      <c r="F41" s="12"/>
      <c r="G41" s="55"/>
      <c r="H41" s="55"/>
      <c r="I41" s="55"/>
      <c r="J41" s="55"/>
      <c r="K41" s="55"/>
      <c r="L41" s="55"/>
      <c r="M41" s="55">
        <f>2000*54</f>
        <v>108000</v>
      </c>
      <c r="N41" s="55"/>
      <c r="O41" s="55"/>
      <c r="P41" s="55"/>
      <c r="Q41" s="73">
        <f>1/M41</f>
        <v>9.2592592592592591E-6</v>
      </c>
      <c r="R41" s="55">
        <f>R$139</f>
        <v>6552</v>
      </c>
      <c r="S41" s="55">
        <v>4</v>
      </c>
      <c r="T41" s="55">
        <v>1.36</v>
      </c>
      <c r="U41" s="74">
        <v>0.4</v>
      </c>
      <c r="V41" s="55">
        <f>R41*T41*(1+U41)*2.6</f>
        <v>32435.020800000006</v>
      </c>
      <c r="W41" s="74">
        <v>0.3</v>
      </c>
      <c r="X41" s="74">
        <v>2</v>
      </c>
      <c r="Y41" s="74">
        <v>0.1</v>
      </c>
      <c r="Z41" s="74"/>
      <c r="AA41" s="12">
        <f>Q41*V41*(1+W41+X41)*(1+Y41)*(1+Z41)</f>
        <v>1.0901770880000003</v>
      </c>
      <c r="AB41" s="12">
        <f>ROUND(AA41,2)</f>
        <v>1.0900000000000001</v>
      </c>
      <c r="AC41" s="108" t="b">
        <f>Q47=AE41*12</f>
        <v>0</v>
      </c>
      <c r="AD41" s="111">
        <f>$AB41</f>
        <v>1.0900000000000001</v>
      </c>
      <c r="AE41" s="111">
        <f>AD41*AD$6</f>
        <v>430.76800000000003</v>
      </c>
      <c r="AF41" s="108">
        <f>AH41*12</f>
        <v>6863.0760000000009</v>
      </c>
      <c r="AG41" s="111">
        <f>$AB41</f>
        <v>1.0900000000000001</v>
      </c>
      <c r="AH41" s="111">
        <f>AG41*AG$6</f>
        <v>571.92300000000012</v>
      </c>
    </row>
    <row r="42" spans="1:34" s="6" customFormat="1" ht="24">
      <c r="A42" s="3" t="s">
        <v>216</v>
      </c>
      <c r="B42" s="2" t="s">
        <v>154</v>
      </c>
      <c r="C42" s="267"/>
      <c r="D42" s="11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>
        <f>R$139</f>
        <v>6552</v>
      </c>
      <c r="S42" s="8"/>
      <c r="T42" s="8"/>
      <c r="U42" s="8"/>
      <c r="V42" s="8"/>
      <c r="W42" s="8"/>
      <c r="X42" s="8"/>
      <c r="Y42" s="8"/>
      <c r="Z42" s="8"/>
      <c r="AA42" s="7"/>
      <c r="AB42" s="7">
        <f>ROUND(AA42,2)</f>
        <v>0</v>
      </c>
      <c r="AC42" s="109"/>
      <c r="AD42" s="104"/>
      <c r="AE42" s="104"/>
      <c r="AF42" s="145"/>
      <c r="AG42" s="104"/>
      <c r="AH42" s="104"/>
    </row>
    <row r="43" spans="1:34" s="6" customFormat="1" ht="12">
      <c r="A43" s="3" t="s">
        <v>217</v>
      </c>
      <c r="B43" s="2" t="s">
        <v>163</v>
      </c>
      <c r="C43" s="267"/>
      <c r="D43" s="11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7"/>
      <c r="AB43" s="7"/>
      <c r="AC43" s="109"/>
      <c r="AD43" s="104"/>
      <c r="AE43" s="104"/>
      <c r="AF43" s="145"/>
      <c r="AG43" s="104"/>
      <c r="AH43" s="104"/>
    </row>
    <row r="44" spans="1:34" s="6" customFormat="1" ht="12">
      <c r="A44" s="3" t="s">
        <v>218</v>
      </c>
      <c r="B44" s="2" t="s">
        <v>155</v>
      </c>
      <c r="C44" s="267"/>
      <c r="D44" s="11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7"/>
      <c r="AB44" s="7"/>
      <c r="AC44" s="109"/>
      <c r="AD44" s="104"/>
      <c r="AE44" s="104"/>
      <c r="AF44" s="145"/>
      <c r="AG44" s="104"/>
      <c r="AH44" s="104"/>
    </row>
    <row r="45" spans="1:34" s="6" customFormat="1" ht="12">
      <c r="A45" s="3" t="s">
        <v>219</v>
      </c>
      <c r="B45" s="2" t="s">
        <v>161</v>
      </c>
      <c r="C45" s="267"/>
      <c r="D45" s="11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>
        <f>R$139</f>
        <v>6552</v>
      </c>
      <c r="S45" s="8"/>
      <c r="T45" s="8"/>
      <c r="U45" s="8"/>
      <c r="V45" s="8"/>
      <c r="W45" s="8"/>
      <c r="X45" s="8"/>
      <c r="Y45" s="8"/>
      <c r="Z45" s="8"/>
      <c r="AA45" s="7"/>
      <c r="AB45" s="7">
        <f>ROUND(AA45,2)</f>
        <v>0</v>
      </c>
      <c r="AC45" s="109"/>
      <c r="AD45" s="104"/>
      <c r="AE45" s="104"/>
      <c r="AF45" s="145"/>
      <c r="AG45" s="104"/>
      <c r="AH45" s="104"/>
    </row>
    <row r="46" spans="1:34" s="6" customFormat="1" ht="12">
      <c r="A46" s="3" t="s">
        <v>220</v>
      </c>
      <c r="B46" s="2" t="s">
        <v>150</v>
      </c>
      <c r="C46" s="267"/>
      <c r="D46" s="11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7"/>
      <c r="AB46" s="7"/>
      <c r="AC46" s="109"/>
      <c r="AD46" s="104"/>
      <c r="AE46" s="104"/>
      <c r="AF46" s="145"/>
      <c r="AG46" s="104"/>
      <c r="AH46" s="104"/>
    </row>
    <row r="47" spans="1:34" s="6" customFormat="1" ht="24">
      <c r="A47" s="3" t="s">
        <v>221</v>
      </c>
      <c r="B47" s="2" t="s">
        <v>151</v>
      </c>
      <c r="C47" s="267"/>
      <c r="D47" s="11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7"/>
      <c r="AB47" s="7"/>
      <c r="AC47" s="109"/>
      <c r="AD47" s="104"/>
      <c r="AE47" s="104"/>
      <c r="AF47" s="145"/>
      <c r="AG47" s="104"/>
      <c r="AH47" s="104"/>
    </row>
    <row r="48" spans="1:34" s="6" customFormat="1" ht="24">
      <c r="A48" s="3" t="s">
        <v>222</v>
      </c>
      <c r="B48" s="2" t="s">
        <v>152</v>
      </c>
      <c r="C48" s="267"/>
      <c r="D48" s="11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>
        <f>R$139</f>
        <v>6552</v>
      </c>
      <c r="S48" s="8"/>
      <c r="T48" s="8"/>
      <c r="U48" s="8"/>
      <c r="V48" s="8"/>
      <c r="W48" s="8"/>
      <c r="X48" s="8"/>
      <c r="Y48" s="8"/>
      <c r="Z48" s="8"/>
      <c r="AA48" s="7"/>
      <c r="AB48" s="7">
        <f>ROUND(AA48,2)</f>
        <v>0</v>
      </c>
      <c r="AC48" s="109"/>
      <c r="AD48" s="104"/>
      <c r="AE48" s="104"/>
      <c r="AF48" s="145"/>
      <c r="AG48" s="104"/>
      <c r="AH48" s="104"/>
    </row>
    <row r="49" spans="1:34" s="6" customFormat="1" ht="36">
      <c r="A49" s="3" t="s">
        <v>223</v>
      </c>
      <c r="B49" s="2" t="s">
        <v>156</v>
      </c>
      <c r="C49" s="267"/>
      <c r="D49" s="11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>
        <f>R$139</f>
        <v>6552</v>
      </c>
      <c r="S49" s="8"/>
      <c r="T49" s="8"/>
      <c r="U49" s="8"/>
      <c r="V49" s="8"/>
      <c r="W49" s="8"/>
      <c r="X49" s="8"/>
      <c r="Y49" s="8"/>
      <c r="Z49" s="8"/>
      <c r="AA49" s="7"/>
      <c r="AB49" s="7">
        <f>ROUND(AA49,2)</f>
        <v>0</v>
      </c>
      <c r="AC49" s="109"/>
      <c r="AD49" s="104"/>
      <c r="AE49" s="104"/>
      <c r="AF49" s="145"/>
      <c r="AG49" s="104"/>
      <c r="AH49" s="104"/>
    </row>
    <row r="50" spans="1:34" s="6" customFormat="1" ht="24">
      <c r="A50" s="3" t="s">
        <v>224</v>
      </c>
      <c r="B50" s="2" t="s">
        <v>157</v>
      </c>
      <c r="C50" s="267"/>
      <c r="D50" s="11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>
        <f>R$139</f>
        <v>6552</v>
      </c>
      <c r="S50" s="8"/>
      <c r="T50" s="8"/>
      <c r="U50" s="8"/>
      <c r="V50" s="8"/>
      <c r="W50" s="8"/>
      <c r="X50" s="8"/>
      <c r="Y50" s="8"/>
      <c r="Z50" s="8"/>
      <c r="AA50" s="7"/>
      <c r="AB50" s="7">
        <f>ROUND(AA50,2)</f>
        <v>0</v>
      </c>
      <c r="AC50" s="109"/>
      <c r="AD50" s="104"/>
      <c r="AE50" s="104"/>
      <c r="AF50" s="145"/>
      <c r="AG50" s="104"/>
      <c r="AH50" s="104"/>
    </row>
    <row r="51" spans="1:34" s="6" customFormat="1" ht="36">
      <c r="A51" s="3" t="s">
        <v>225</v>
      </c>
      <c r="B51" s="2" t="s">
        <v>159</v>
      </c>
      <c r="C51" s="267"/>
      <c r="D51" s="11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>
        <f>R$139</f>
        <v>6552</v>
      </c>
      <c r="S51" s="8"/>
      <c r="T51" s="8"/>
      <c r="U51" s="8"/>
      <c r="V51" s="8"/>
      <c r="W51" s="8"/>
      <c r="X51" s="8"/>
      <c r="Y51" s="8"/>
      <c r="Z51" s="8"/>
      <c r="AA51" s="7"/>
      <c r="AB51" s="7">
        <f>ROUND(AA51,2)</f>
        <v>0</v>
      </c>
      <c r="AC51" s="109"/>
      <c r="AD51" s="98"/>
      <c r="AE51" s="104"/>
      <c r="AF51" s="145"/>
      <c r="AG51" s="98"/>
      <c r="AH51" s="104"/>
    </row>
    <row r="52" spans="1:34" s="6" customFormat="1" ht="60">
      <c r="A52" s="3" t="s">
        <v>226</v>
      </c>
      <c r="B52" s="2" t="s">
        <v>166</v>
      </c>
      <c r="C52" s="267"/>
      <c r="D52" s="11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7"/>
      <c r="AB52" s="7"/>
      <c r="AC52" s="109"/>
      <c r="AD52" s="98"/>
      <c r="AE52" s="104"/>
      <c r="AF52" s="145"/>
      <c r="AG52" s="98"/>
      <c r="AH52" s="104"/>
    </row>
    <row r="53" spans="1:34" s="6" customFormat="1" ht="24">
      <c r="A53" s="3" t="s">
        <v>237</v>
      </c>
      <c r="B53" s="2" t="s">
        <v>162</v>
      </c>
      <c r="C53" s="267"/>
      <c r="D53" s="11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7"/>
      <c r="AB53" s="7"/>
      <c r="AC53" s="109"/>
      <c r="AD53" s="98"/>
      <c r="AE53" s="104"/>
      <c r="AF53" s="145"/>
      <c r="AG53" s="98"/>
      <c r="AH53" s="104"/>
    </row>
    <row r="54" spans="1:34" s="75" customFormat="1" ht="12">
      <c r="A54" s="62" t="s">
        <v>204</v>
      </c>
      <c r="B54" s="20" t="s">
        <v>164</v>
      </c>
      <c r="C54" s="267" t="s">
        <v>142</v>
      </c>
      <c r="D54" s="59" t="s">
        <v>0</v>
      </c>
      <c r="E54" s="12"/>
      <c r="F54" s="12"/>
      <c r="G54" s="55"/>
      <c r="H54" s="55"/>
      <c r="I54" s="55"/>
      <c r="J54" s="55"/>
      <c r="K54" s="55"/>
      <c r="L54" s="55"/>
      <c r="M54" s="55">
        <f>50*12*54</f>
        <v>32400</v>
      </c>
      <c r="N54" s="55"/>
      <c r="O54" s="55"/>
      <c r="P54" s="55"/>
      <c r="Q54" s="73">
        <f>1/M54</f>
        <v>3.0864197530864198E-5</v>
      </c>
      <c r="R54" s="55">
        <f>R$139</f>
        <v>6552</v>
      </c>
      <c r="S54" s="55">
        <v>4</v>
      </c>
      <c r="T54" s="55">
        <v>1.36</v>
      </c>
      <c r="U54" s="74">
        <v>0.7</v>
      </c>
      <c r="V54" s="55">
        <f>R54*T54*(1+U54)*2.6</f>
        <v>39385.38240000001</v>
      </c>
      <c r="W54" s="74">
        <v>0.3</v>
      </c>
      <c r="X54" s="74">
        <v>1</v>
      </c>
      <c r="Y54" s="74">
        <v>0.1</v>
      </c>
      <c r="Z54" s="74"/>
      <c r="AA54" s="12">
        <f>Q54*V54*(1+W54+X54)*(1+Y54)*(1+Z54)</f>
        <v>3.075463502222223</v>
      </c>
      <c r="AB54" s="12">
        <f>ROUND(AA54,2)</f>
        <v>3.08</v>
      </c>
      <c r="AC54" s="108">
        <f>AE54*12</f>
        <v>14606.591999999999</v>
      </c>
      <c r="AD54" s="105">
        <f>$AB54</f>
        <v>3.08</v>
      </c>
      <c r="AE54" s="105">
        <f>AD54*AD$6</f>
        <v>1217.2159999999999</v>
      </c>
      <c r="AF54" s="108">
        <f>AH54*12</f>
        <v>19392.912000000004</v>
      </c>
      <c r="AG54" s="105">
        <f>$AB54</f>
        <v>3.08</v>
      </c>
      <c r="AH54" s="105">
        <f>AG54*AG$6</f>
        <v>1616.0760000000002</v>
      </c>
    </row>
    <row r="55" spans="1:34" s="75" customFormat="1" ht="48">
      <c r="A55" s="141" t="s">
        <v>238</v>
      </c>
      <c r="B55" s="2" t="s">
        <v>153</v>
      </c>
      <c r="C55" s="267"/>
      <c r="D55" s="59"/>
      <c r="E55" s="12"/>
      <c r="F55" s="12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73"/>
      <c r="R55" s="55"/>
      <c r="S55" s="55"/>
      <c r="T55" s="55"/>
      <c r="U55" s="74"/>
      <c r="V55" s="55"/>
      <c r="W55" s="74"/>
      <c r="X55" s="74"/>
      <c r="Y55" s="74"/>
      <c r="Z55" s="74"/>
      <c r="AA55" s="12"/>
      <c r="AB55" s="12"/>
      <c r="AC55" s="108"/>
      <c r="AD55" s="105"/>
      <c r="AE55" s="105"/>
      <c r="AF55" s="108"/>
      <c r="AG55" s="105"/>
      <c r="AH55" s="105"/>
    </row>
    <row r="56" spans="1:34" s="75" customFormat="1" ht="12">
      <c r="A56" s="141" t="s">
        <v>239</v>
      </c>
      <c r="B56" s="2" t="s">
        <v>165</v>
      </c>
      <c r="C56" s="267"/>
      <c r="D56" s="59"/>
      <c r="E56" s="12"/>
      <c r="F56" s="12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73"/>
      <c r="R56" s="55"/>
      <c r="S56" s="55"/>
      <c r="T56" s="55"/>
      <c r="U56" s="74"/>
      <c r="V56" s="55"/>
      <c r="W56" s="74"/>
      <c r="X56" s="74"/>
      <c r="Y56" s="74"/>
      <c r="Z56" s="74"/>
      <c r="AA56" s="12"/>
      <c r="AB56" s="12"/>
      <c r="AC56" s="108"/>
      <c r="AD56" s="105"/>
      <c r="AE56" s="105"/>
      <c r="AF56" s="108"/>
      <c r="AG56" s="105"/>
      <c r="AH56" s="105"/>
    </row>
    <row r="57" spans="1:34" s="75" customFormat="1" ht="48">
      <c r="A57" s="141" t="s">
        <v>240</v>
      </c>
      <c r="B57" s="2" t="s">
        <v>158</v>
      </c>
      <c r="C57" s="267"/>
      <c r="D57" s="59"/>
      <c r="E57" s="12"/>
      <c r="F57" s="12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73"/>
      <c r="R57" s="55"/>
      <c r="S57" s="55"/>
      <c r="T57" s="55"/>
      <c r="U57" s="74"/>
      <c r="V57" s="55"/>
      <c r="W57" s="74"/>
      <c r="X57" s="74"/>
      <c r="Y57" s="74"/>
      <c r="Z57" s="74"/>
      <c r="AA57" s="12"/>
      <c r="AB57" s="12"/>
      <c r="AC57" s="108"/>
      <c r="AD57" s="105"/>
      <c r="AE57" s="105"/>
      <c r="AF57" s="108"/>
      <c r="AG57" s="105"/>
      <c r="AH57" s="105"/>
    </row>
    <row r="58" spans="1:34" s="75" customFormat="1" ht="48">
      <c r="A58" s="141" t="s">
        <v>241</v>
      </c>
      <c r="B58" s="2" t="s">
        <v>160</v>
      </c>
      <c r="C58" s="267"/>
      <c r="D58" s="59"/>
      <c r="E58" s="12"/>
      <c r="F58" s="12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73"/>
      <c r="R58" s="55"/>
      <c r="S58" s="55"/>
      <c r="T58" s="55"/>
      <c r="U58" s="74"/>
      <c r="V58" s="55"/>
      <c r="W58" s="74"/>
      <c r="X58" s="74"/>
      <c r="Y58" s="74"/>
      <c r="Z58" s="74"/>
      <c r="AA58" s="12"/>
      <c r="AB58" s="12"/>
      <c r="AC58" s="108"/>
      <c r="AD58" s="105"/>
      <c r="AE58" s="105"/>
      <c r="AF58" s="108"/>
      <c r="AG58" s="105"/>
      <c r="AH58" s="105"/>
    </row>
    <row r="59" spans="1:34" s="6" customFormat="1" ht="48">
      <c r="A59" s="3"/>
      <c r="B59" s="142" t="s">
        <v>137</v>
      </c>
      <c r="C59" s="1"/>
      <c r="D59" s="11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7"/>
      <c r="AB59" s="7"/>
      <c r="AC59" s="108">
        <f t="shared" ref="AC59:AE59" si="4">SUM(AC60:AC88,AC91,AC94:AC99)</f>
        <v>79699.8</v>
      </c>
      <c r="AD59" s="108">
        <f t="shared" si="4"/>
        <v>16.805794534412957</v>
      </c>
      <c r="AE59" s="108">
        <f t="shared" si="4"/>
        <v>6641.6500000000005</v>
      </c>
      <c r="AF59" s="108">
        <f t="shared" ref="AF59:AH59" si="5">SUM(AF60:AF88,AF91,AF94:AF99)</f>
        <v>49831.152000000002</v>
      </c>
      <c r="AG59" s="108">
        <f t="shared" si="5"/>
        <v>7.9142290832856874</v>
      </c>
      <c r="AH59" s="108">
        <f t="shared" si="5"/>
        <v>4152.5960000000005</v>
      </c>
    </row>
    <row r="60" spans="1:34" s="75" customFormat="1" ht="15" customHeight="1">
      <c r="A60" s="13" t="s">
        <v>203</v>
      </c>
      <c r="B60" s="20" t="s">
        <v>140</v>
      </c>
      <c r="C60" s="267" t="s">
        <v>10</v>
      </c>
      <c r="D60" s="59" t="s">
        <v>0</v>
      </c>
      <c r="E60" s="12"/>
      <c r="F60" s="12"/>
      <c r="G60" s="55"/>
      <c r="H60" s="55"/>
      <c r="I60" s="55"/>
      <c r="J60" s="55"/>
      <c r="K60" s="55"/>
      <c r="L60" s="55"/>
      <c r="M60" s="55">
        <f>375*54/0.2/0.5</f>
        <v>202500</v>
      </c>
      <c r="N60" s="55"/>
      <c r="O60" s="55"/>
      <c r="P60" s="55"/>
      <c r="Q60" s="73">
        <f>1/M60</f>
        <v>4.9382716049382717E-6</v>
      </c>
      <c r="R60" s="55">
        <f>R$139</f>
        <v>6552</v>
      </c>
      <c r="S60" s="55">
        <v>4</v>
      </c>
      <c r="T60" s="55">
        <v>1.36</v>
      </c>
      <c r="U60" s="74">
        <v>0.4</v>
      </c>
      <c r="V60" s="55">
        <f>R60*T60*(1+U60)*2.6</f>
        <v>32435.020800000006</v>
      </c>
      <c r="W60" s="74">
        <v>0.3</v>
      </c>
      <c r="X60" s="74">
        <v>0.1</v>
      </c>
      <c r="Y60" s="74">
        <v>0.1</v>
      </c>
      <c r="Z60" s="74"/>
      <c r="AA60" s="12">
        <f>Q60*V60*(1+W60+X60)*(1+Y60)*(1+Z60)</f>
        <v>0.2466663310222223</v>
      </c>
      <c r="AB60" s="12">
        <f>ROUND(AA60,2)</f>
        <v>0.25</v>
      </c>
      <c r="AC60" s="108">
        <f>AE60*12</f>
        <v>1185.5999999999999</v>
      </c>
      <c r="AD60" s="105">
        <f>IF(AE36=1,$AB60,0)</f>
        <v>0.25</v>
      </c>
      <c r="AE60" s="105">
        <f>AD60*AD$6</f>
        <v>98.8</v>
      </c>
      <c r="AF60" s="108">
        <f>AH60*12</f>
        <v>1574.1000000000001</v>
      </c>
      <c r="AG60" s="105">
        <f>IF(AH36=1,$AB60,0)</f>
        <v>0.25</v>
      </c>
      <c r="AH60" s="105">
        <f>AG60*AG$6</f>
        <v>131.17500000000001</v>
      </c>
    </row>
    <row r="61" spans="1:34" s="6" customFormat="1" ht="12" customHeight="1">
      <c r="A61" s="3" t="s">
        <v>216</v>
      </c>
      <c r="B61" s="2" t="s">
        <v>167</v>
      </c>
      <c r="C61" s="267"/>
      <c r="D61" s="11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>
        <f>R$139</f>
        <v>6552</v>
      </c>
      <c r="S61" s="8"/>
      <c r="T61" s="8"/>
      <c r="U61" s="8"/>
      <c r="V61" s="8"/>
      <c r="W61" s="8"/>
      <c r="X61" s="8"/>
      <c r="Y61" s="8"/>
      <c r="Z61" s="8"/>
      <c r="AA61" s="113"/>
      <c r="AB61" s="7">
        <f>ROUND(AA61,2)</f>
        <v>0</v>
      </c>
      <c r="AC61" s="109"/>
      <c r="AD61" s="106"/>
      <c r="AE61" s="104"/>
      <c r="AF61" s="145"/>
      <c r="AG61" s="106"/>
      <c r="AH61" s="104"/>
    </row>
    <row r="62" spans="1:34" s="6" customFormat="1" ht="24">
      <c r="A62" s="3" t="s">
        <v>217</v>
      </c>
      <c r="B62" s="2" t="s">
        <v>168</v>
      </c>
      <c r="C62" s="267"/>
      <c r="D62" s="11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113"/>
      <c r="AB62" s="7"/>
      <c r="AC62" s="109"/>
      <c r="AD62" s="106"/>
      <c r="AE62" s="104"/>
      <c r="AF62" s="145"/>
      <c r="AG62" s="106"/>
      <c r="AH62" s="104"/>
    </row>
    <row r="63" spans="1:34" s="75" customFormat="1" ht="12">
      <c r="A63" s="13" t="s">
        <v>205</v>
      </c>
      <c r="B63" s="20" t="s">
        <v>141</v>
      </c>
      <c r="C63" s="267" t="s">
        <v>142</v>
      </c>
      <c r="D63" s="59" t="s">
        <v>0</v>
      </c>
      <c r="E63" s="12"/>
      <c r="F63" s="12"/>
      <c r="G63" s="55"/>
      <c r="H63" s="55"/>
      <c r="I63" s="55"/>
      <c r="J63" s="55"/>
      <c r="K63" s="55"/>
      <c r="L63" s="55"/>
      <c r="M63" s="55">
        <f>2000000</f>
        <v>2000000</v>
      </c>
      <c r="N63" s="55"/>
      <c r="O63" s="55"/>
      <c r="P63" s="55"/>
      <c r="Q63" s="73">
        <f>1/M63</f>
        <v>4.9999999999999998E-7</v>
      </c>
      <c r="R63" s="55">
        <f>R$139</f>
        <v>6552</v>
      </c>
      <c r="S63" s="55">
        <v>4</v>
      </c>
      <c r="T63" s="55">
        <v>1.36</v>
      </c>
      <c r="U63" s="74">
        <v>0.7</v>
      </c>
      <c r="V63" s="55">
        <f>R63*T63*(1+U63)*2.6</f>
        <v>39385.38240000001</v>
      </c>
      <c r="W63" s="74">
        <v>0.3</v>
      </c>
      <c r="X63" s="74">
        <v>1</v>
      </c>
      <c r="Y63" s="74">
        <v>0.1</v>
      </c>
      <c r="Z63" s="74"/>
      <c r="AA63" s="12">
        <f>Q63*V63*(1+W63+X63)*(1+Y63)*(1+Z63)</f>
        <v>4.9822508736000012E-2</v>
      </c>
      <c r="AB63" s="12">
        <f>ROUND(AA63,2)</f>
        <v>0.05</v>
      </c>
      <c r="AC63" s="108">
        <f>AE63*12</f>
        <v>237.12</v>
      </c>
      <c r="AD63" s="105">
        <f>IF(AE36=1,$AB63,0)</f>
        <v>0.05</v>
      </c>
      <c r="AE63" s="105">
        <f>AD63*AD$6</f>
        <v>19.760000000000002</v>
      </c>
      <c r="AF63" s="108">
        <f>AH63*12</f>
        <v>314.82000000000005</v>
      </c>
      <c r="AG63" s="105">
        <f>IF(AH36=1,$AB63,0)</f>
        <v>0.05</v>
      </c>
      <c r="AH63" s="105">
        <f>AG63*AG$6</f>
        <v>26.235000000000003</v>
      </c>
    </row>
    <row r="64" spans="1:34" s="6" customFormat="1" ht="13.5" customHeight="1">
      <c r="A64" s="3" t="s">
        <v>238</v>
      </c>
      <c r="B64" s="2" t="s">
        <v>169</v>
      </c>
      <c r="C64" s="267"/>
      <c r="D64" s="11"/>
      <c r="E64" s="12"/>
      <c r="F64" s="12"/>
      <c r="G64" s="8"/>
      <c r="H64" s="8"/>
      <c r="I64" s="8"/>
      <c r="J64" s="8"/>
      <c r="K64" s="8"/>
      <c r="L64" s="8"/>
      <c r="M64" s="8"/>
      <c r="N64" s="8"/>
      <c r="O64" s="8"/>
      <c r="P64" s="8"/>
      <c r="Q64" s="18"/>
      <c r="R64" s="8"/>
      <c r="S64" s="8"/>
      <c r="T64" s="8"/>
      <c r="U64" s="15"/>
      <c r="V64" s="8"/>
      <c r="W64" s="15"/>
      <c r="X64" s="15"/>
      <c r="Y64" s="15"/>
      <c r="Z64" s="15"/>
      <c r="AA64" s="7"/>
      <c r="AB64" s="7"/>
      <c r="AC64" s="109"/>
      <c r="AD64" s="104"/>
      <c r="AE64" s="104"/>
      <c r="AF64" s="145"/>
      <c r="AG64" s="104"/>
      <c r="AH64" s="104"/>
    </row>
    <row r="65" spans="1:34" s="75" customFormat="1" ht="15" customHeight="1">
      <c r="A65" s="13" t="s">
        <v>206</v>
      </c>
      <c r="B65" s="20" t="s">
        <v>146</v>
      </c>
      <c r="C65" s="267" t="s">
        <v>136</v>
      </c>
      <c r="D65" s="59" t="s">
        <v>0</v>
      </c>
      <c r="E65" s="12"/>
      <c r="F65" s="12"/>
      <c r="G65" s="55"/>
      <c r="H65" s="55"/>
      <c r="I65" s="55"/>
      <c r="J65" s="55"/>
      <c r="K65" s="55"/>
      <c r="L65" s="55"/>
      <c r="M65" s="55">
        <f>375*54/0.4/0.5</f>
        <v>101250</v>
      </c>
      <c r="N65" s="55"/>
      <c r="O65" s="55"/>
      <c r="P65" s="55"/>
      <c r="Q65" s="73">
        <f>1/M65</f>
        <v>9.8765432098765433E-6</v>
      </c>
      <c r="R65" s="55">
        <f>R$139</f>
        <v>6552</v>
      </c>
      <c r="S65" s="55">
        <v>4</v>
      </c>
      <c r="T65" s="55">
        <v>1.36</v>
      </c>
      <c r="U65" s="74">
        <v>0.4</v>
      </c>
      <c r="V65" s="55">
        <f>R65*T65*(1+U65)*2.6</f>
        <v>32435.020800000006</v>
      </c>
      <c r="W65" s="74">
        <v>0.3</v>
      </c>
      <c r="X65" s="74">
        <v>0.1</v>
      </c>
      <c r="Y65" s="74">
        <v>0.1</v>
      </c>
      <c r="Z65" s="74"/>
      <c r="AA65" s="12">
        <f>Q65*V65*(1+W65+X65)*(1+Y65)*(1+Z65)</f>
        <v>0.49333266204444459</v>
      </c>
      <c r="AB65" s="12">
        <f>ROUND(AA65,2)</f>
        <v>0.49</v>
      </c>
      <c r="AC65" s="108">
        <f>AE65*12</f>
        <v>0</v>
      </c>
      <c r="AD65" s="105">
        <f>IF(AE31=1,$AB65,0)</f>
        <v>0</v>
      </c>
      <c r="AE65" s="111">
        <f>AD65*AD$6</f>
        <v>0</v>
      </c>
      <c r="AF65" s="108">
        <f>AH65*12</f>
        <v>3085.2359999999999</v>
      </c>
      <c r="AG65" s="105">
        <f>IF(AH31=1,$AB65,0)</f>
        <v>0.49</v>
      </c>
      <c r="AH65" s="111">
        <f>AG65*AG$6</f>
        <v>257.10300000000001</v>
      </c>
    </row>
    <row r="66" spans="1:34" s="6" customFormat="1" ht="36">
      <c r="A66" s="3" t="s">
        <v>227</v>
      </c>
      <c r="B66" s="2" t="s">
        <v>177</v>
      </c>
      <c r="C66" s="267"/>
      <c r="D66" s="11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>
        <f>R$139</f>
        <v>6552</v>
      </c>
      <c r="S66" s="8"/>
      <c r="T66" s="8"/>
      <c r="U66" s="8"/>
      <c r="V66" s="8"/>
      <c r="W66" s="8"/>
      <c r="X66" s="8"/>
      <c r="Y66" s="8"/>
      <c r="Z66" s="8"/>
      <c r="AA66" s="113"/>
      <c r="AB66" s="7">
        <f>ROUND(AA66,2)</f>
        <v>0</v>
      </c>
      <c r="AC66" s="109"/>
      <c r="AD66" s="104"/>
      <c r="AE66" s="104"/>
      <c r="AF66" s="145"/>
      <c r="AG66" s="104"/>
      <c r="AH66" s="104"/>
    </row>
    <row r="67" spans="1:34" s="6" customFormat="1" ht="36">
      <c r="A67" s="3" t="s">
        <v>228</v>
      </c>
      <c r="B67" s="2" t="s">
        <v>180</v>
      </c>
      <c r="C67" s="267"/>
      <c r="D67" s="11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113"/>
      <c r="AB67" s="7"/>
      <c r="AC67" s="109"/>
      <c r="AD67" s="104"/>
      <c r="AE67" s="104"/>
      <c r="AF67" s="145"/>
      <c r="AG67" s="104"/>
      <c r="AH67" s="104"/>
    </row>
    <row r="68" spans="1:34" s="6" customFormat="1" ht="24">
      <c r="A68" s="3" t="s">
        <v>229</v>
      </c>
      <c r="B68" s="2" t="s">
        <v>171</v>
      </c>
      <c r="C68" s="267"/>
      <c r="D68" s="11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>
        <f>R$139</f>
        <v>6552</v>
      </c>
      <c r="S68" s="8"/>
      <c r="T68" s="8"/>
      <c r="U68" s="8"/>
      <c r="V68" s="8"/>
      <c r="W68" s="8"/>
      <c r="X68" s="8"/>
      <c r="Y68" s="8"/>
      <c r="Z68" s="8"/>
      <c r="AA68" s="113"/>
      <c r="AB68" s="7">
        <f>ROUND(AA68,2)</f>
        <v>0</v>
      </c>
      <c r="AC68" s="109"/>
      <c r="AD68" s="104"/>
      <c r="AE68" s="104"/>
      <c r="AF68" s="145"/>
      <c r="AG68" s="104"/>
      <c r="AH68" s="104"/>
    </row>
    <row r="69" spans="1:34" s="75" customFormat="1" ht="12">
      <c r="A69" s="13" t="s">
        <v>34</v>
      </c>
      <c r="B69" s="20" t="s">
        <v>148</v>
      </c>
      <c r="C69" s="267" t="s">
        <v>142</v>
      </c>
      <c r="D69" s="59" t="s">
        <v>0</v>
      </c>
      <c r="E69" s="12"/>
      <c r="F69" s="12"/>
      <c r="G69" s="55"/>
      <c r="H69" s="55"/>
      <c r="I69" s="55"/>
      <c r="J69" s="55"/>
      <c r="K69" s="55"/>
      <c r="L69" s="55"/>
      <c r="M69" s="55">
        <f>375*54/0.4/0.5</f>
        <v>101250</v>
      </c>
      <c r="N69" s="55"/>
      <c r="O69" s="55"/>
      <c r="P69" s="55"/>
      <c r="Q69" s="73">
        <f>1/M69</f>
        <v>9.8765432098765433E-6</v>
      </c>
      <c r="R69" s="55">
        <f>R$139</f>
        <v>6552</v>
      </c>
      <c r="S69" s="55">
        <v>4</v>
      </c>
      <c r="T69" s="55">
        <v>1.36</v>
      </c>
      <c r="U69" s="74">
        <v>0.7</v>
      </c>
      <c r="V69" s="55">
        <f>R69*T69*(1+U69)*2.6</f>
        <v>39385.38240000001</v>
      </c>
      <c r="W69" s="74">
        <v>0.3</v>
      </c>
      <c r="X69" s="74">
        <v>1</v>
      </c>
      <c r="Y69" s="74">
        <v>0.1</v>
      </c>
      <c r="Z69" s="74"/>
      <c r="AA69" s="12">
        <f>Q69*V69*(1+W69+X69)*(1+Y69)*(1+Z69)</f>
        <v>0.98414832071111136</v>
      </c>
      <c r="AB69" s="12">
        <f>ROUND(AA69,2)</f>
        <v>0.98</v>
      </c>
      <c r="AC69" s="108">
        <f>AE69*12</f>
        <v>0</v>
      </c>
      <c r="AD69" s="105">
        <f>IF(AE31=1,$AB69,0)</f>
        <v>0</v>
      </c>
      <c r="AE69" s="111">
        <f>AD69*AD$6</f>
        <v>0</v>
      </c>
      <c r="AF69" s="108">
        <f>AH69*12</f>
        <v>6170.4719999999998</v>
      </c>
      <c r="AG69" s="105">
        <f>IF(AH31=1,$AB69,0)</f>
        <v>0.98</v>
      </c>
      <c r="AH69" s="111">
        <f>AG69*AG$6</f>
        <v>514.20600000000002</v>
      </c>
    </row>
    <row r="70" spans="1:34" s="75" customFormat="1" ht="36">
      <c r="A70" s="3" t="s">
        <v>242</v>
      </c>
      <c r="B70" s="2" t="s">
        <v>175</v>
      </c>
      <c r="C70" s="267"/>
      <c r="D70" s="59"/>
      <c r="E70" s="12"/>
      <c r="F70" s="12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73"/>
      <c r="R70" s="55"/>
      <c r="S70" s="55"/>
      <c r="T70" s="55"/>
      <c r="U70" s="74"/>
      <c r="V70" s="55"/>
      <c r="W70" s="74"/>
      <c r="X70" s="74"/>
      <c r="Y70" s="74"/>
      <c r="Z70" s="74"/>
      <c r="AA70" s="12"/>
      <c r="AB70" s="12"/>
      <c r="AC70" s="108"/>
      <c r="AD70" s="105"/>
      <c r="AE70" s="111"/>
      <c r="AF70" s="108"/>
      <c r="AG70" s="105"/>
      <c r="AH70" s="111"/>
    </row>
    <row r="71" spans="1:34" s="75" customFormat="1" ht="24">
      <c r="A71" s="3" t="s">
        <v>243</v>
      </c>
      <c r="B71" s="2" t="s">
        <v>170</v>
      </c>
      <c r="C71" s="267"/>
      <c r="D71" s="59"/>
      <c r="E71" s="12"/>
      <c r="F71" s="12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73"/>
      <c r="R71" s="55"/>
      <c r="S71" s="55"/>
      <c r="T71" s="55"/>
      <c r="U71" s="74"/>
      <c r="V71" s="55"/>
      <c r="W71" s="74"/>
      <c r="X71" s="74"/>
      <c r="Y71" s="74"/>
      <c r="Z71" s="74"/>
      <c r="AA71" s="12"/>
      <c r="AB71" s="12"/>
      <c r="AC71" s="108"/>
      <c r="AD71" s="105"/>
      <c r="AE71" s="111"/>
      <c r="AF71" s="108"/>
      <c r="AG71" s="105"/>
      <c r="AH71" s="111"/>
    </row>
    <row r="72" spans="1:34" s="75" customFormat="1" ht="15" customHeight="1">
      <c r="A72" s="13" t="s">
        <v>207</v>
      </c>
      <c r="B72" s="20" t="s">
        <v>143</v>
      </c>
      <c r="C72" s="267" t="s">
        <v>136</v>
      </c>
      <c r="D72" s="54"/>
      <c r="E72" s="12"/>
      <c r="F72" s="12"/>
      <c r="G72" s="55"/>
      <c r="H72" s="55"/>
      <c r="I72" s="55"/>
      <c r="J72" s="55"/>
      <c r="K72" s="55"/>
      <c r="L72" s="55"/>
      <c r="M72" s="55">
        <f>375*54/0.4/0.5</f>
        <v>101250</v>
      </c>
      <c r="N72" s="55"/>
      <c r="O72" s="55"/>
      <c r="P72" s="55"/>
      <c r="Q72" s="73">
        <f>1/M72</f>
        <v>9.8765432098765433E-6</v>
      </c>
      <c r="R72" s="55">
        <f>R$139</f>
        <v>6552</v>
      </c>
      <c r="S72" s="55">
        <v>4</v>
      </c>
      <c r="T72" s="55">
        <v>1.36</v>
      </c>
      <c r="U72" s="74">
        <v>0.4</v>
      </c>
      <c r="V72" s="55">
        <f>R72*T72*(1+U72)*2.6</f>
        <v>32435.020800000006</v>
      </c>
      <c r="W72" s="74">
        <v>0.3</v>
      </c>
      <c r="X72" s="74">
        <v>0.1</v>
      </c>
      <c r="Y72" s="74">
        <v>0.1</v>
      </c>
      <c r="Z72" s="74"/>
      <c r="AA72" s="12">
        <f>Q72*V72*(1+W72+X72)*(1+Y72)*(1+Z72)</f>
        <v>0.49333266204444459</v>
      </c>
      <c r="AB72" s="12">
        <f>ROUND(AA72,2)</f>
        <v>0.49</v>
      </c>
      <c r="AC72" s="108">
        <f>AE72*12</f>
        <v>0</v>
      </c>
      <c r="AD72" s="105">
        <f>IF(AE32=1,$AB72,0)</f>
        <v>0</v>
      </c>
      <c r="AE72" s="111">
        <f>AD72*AD$6</f>
        <v>0</v>
      </c>
      <c r="AF72" s="108">
        <f>AH72*12</f>
        <v>3085.2359999999999</v>
      </c>
      <c r="AG72" s="105">
        <f>IF(AH32=1,$AB72,0)</f>
        <v>0.49</v>
      </c>
      <c r="AH72" s="111">
        <f>AG72*AG$6</f>
        <v>257.10300000000001</v>
      </c>
    </row>
    <row r="73" spans="1:34" s="6" customFormat="1" ht="36">
      <c r="A73" s="3" t="s">
        <v>244</v>
      </c>
      <c r="B73" s="2" t="s">
        <v>178</v>
      </c>
      <c r="C73" s="267"/>
      <c r="D73" s="11" t="s">
        <v>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18"/>
      <c r="R73" s="8">
        <f>R$139</f>
        <v>6552</v>
      </c>
      <c r="S73" s="8"/>
      <c r="T73" s="8"/>
      <c r="U73" s="8"/>
      <c r="V73" s="8"/>
      <c r="W73" s="8"/>
      <c r="X73" s="8"/>
      <c r="Y73" s="8"/>
      <c r="Z73" s="8"/>
      <c r="AA73" s="113"/>
      <c r="AB73" s="7">
        <f>ROUND(AA73,2)</f>
        <v>0</v>
      </c>
      <c r="AC73" s="109"/>
      <c r="AD73" s="104"/>
      <c r="AE73" s="104"/>
      <c r="AF73" s="145"/>
      <c r="AG73" s="104"/>
      <c r="AH73" s="104"/>
    </row>
    <row r="74" spans="1:34" s="6" customFormat="1" ht="36">
      <c r="A74" s="3" t="s">
        <v>245</v>
      </c>
      <c r="B74" s="2" t="s">
        <v>181</v>
      </c>
      <c r="C74" s="267"/>
      <c r="D74" s="11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18"/>
      <c r="R74" s="8"/>
      <c r="S74" s="8"/>
      <c r="T74" s="8"/>
      <c r="U74" s="8"/>
      <c r="V74" s="8"/>
      <c r="W74" s="8"/>
      <c r="X74" s="8"/>
      <c r="Y74" s="8"/>
      <c r="Z74" s="8"/>
      <c r="AA74" s="113"/>
      <c r="AB74" s="7"/>
      <c r="AC74" s="109"/>
      <c r="AD74" s="104"/>
      <c r="AE74" s="104"/>
      <c r="AF74" s="145"/>
      <c r="AG74" s="104"/>
      <c r="AH74" s="104"/>
    </row>
    <row r="75" spans="1:34" s="6" customFormat="1" ht="24.75" customHeight="1">
      <c r="A75" s="3" t="s">
        <v>246</v>
      </c>
      <c r="B75" s="2" t="s">
        <v>172</v>
      </c>
      <c r="C75" s="267"/>
      <c r="D75" s="11" t="s">
        <v>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18"/>
      <c r="R75" s="8">
        <f>R$139</f>
        <v>6552</v>
      </c>
      <c r="S75" s="8"/>
      <c r="T75" s="8"/>
      <c r="U75" s="8"/>
      <c r="V75" s="8"/>
      <c r="W75" s="8"/>
      <c r="X75" s="8"/>
      <c r="Y75" s="8"/>
      <c r="Z75" s="8"/>
      <c r="AA75" s="113"/>
      <c r="AB75" s="7">
        <f>ROUND(AA75,2)</f>
        <v>0</v>
      </c>
      <c r="AC75" s="109"/>
      <c r="AD75" s="104"/>
      <c r="AE75" s="104"/>
      <c r="AF75" s="145"/>
      <c r="AG75" s="104"/>
      <c r="AH75" s="104"/>
    </row>
    <row r="76" spans="1:34" s="6" customFormat="1" ht="12">
      <c r="A76" s="13" t="s">
        <v>27</v>
      </c>
      <c r="B76" s="20" t="s">
        <v>173</v>
      </c>
      <c r="C76" s="267" t="s">
        <v>142</v>
      </c>
      <c r="D76" s="11" t="s">
        <v>0</v>
      </c>
      <c r="E76" s="12"/>
      <c r="F76" s="12"/>
      <c r="G76" s="8"/>
      <c r="H76" s="8"/>
      <c r="I76" s="8"/>
      <c r="J76" s="8"/>
      <c r="K76" s="8"/>
      <c r="L76" s="8"/>
      <c r="M76" s="55">
        <f>375*54/0.4/0.5</f>
        <v>101250</v>
      </c>
      <c r="N76" s="8"/>
      <c r="O76" s="8"/>
      <c r="P76" s="8"/>
      <c r="Q76" s="18">
        <f>1/M76</f>
        <v>9.8765432098765433E-6</v>
      </c>
      <c r="R76" s="8">
        <f>R$139</f>
        <v>6552</v>
      </c>
      <c r="S76" s="8">
        <v>4</v>
      </c>
      <c r="T76" s="8">
        <v>1.36</v>
      </c>
      <c r="U76" s="15">
        <v>0.7</v>
      </c>
      <c r="V76" s="8">
        <f>R76*T76*(1+U76)*2.6</f>
        <v>39385.38240000001</v>
      </c>
      <c r="W76" s="15">
        <v>0.3</v>
      </c>
      <c r="X76" s="15">
        <v>1</v>
      </c>
      <c r="Y76" s="15">
        <v>0.1</v>
      </c>
      <c r="Z76" s="15"/>
      <c r="AA76" s="7">
        <f>Q76*V76*(1+W76+X76)*(1+Y76)*(1+Z76)</f>
        <v>0.98414832071111136</v>
      </c>
      <c r="AB76" s="7">
        <f>ROUND(AA76,2)</f>
        <v>0.98</v>
      </c>
      <c r="AC76" s="109">
        <f>AE76*12</f>
        <v>0</v>
      </c>
      <c r="AD76" s="104">
        <f>IF(AE32=1,$AB76,0)</f>
        <v>0</v>
      </c>
      <c r="AE76" s="106">
        <f>AD76*AD$6</f>
        <v>0</v>
      </c>
      <c r="AF76" s="145">
        <f>AH76*12</f>
        <v>6170.4719999999998</v>
      </c>
      <c r="AG76" s="104">
        <f>IF(AH32=1,$AB76,0)</f>
        <v>0.98</v>
      </c>
      <c r="AH76" s="106">
        <f>AG76*AG$6</f>
        <v>514.20600000000002</v>
      </c>
    </row>
    <row r="77" spans="1:34" s="6" customFormat="1" ht="36">
      <c r="A77" s="3" t="s">
        <v>247</v>
      </c>
      <c r="B77" s="2" t="s">
        <v>175</v>
      </c>
      <c r="C77" s="267"/>
      <c r="D77" s="11"/>
      <c r="E77" s="12"/>
      <c r="F77" s="12"/>
      <c r="G77" s="8"/>
      <c r="H77" s="8"/>
      <c r="I77" s="8"/>
      <c r="J77" s="8"/>
      <c r="K77" s="8"/>
      <c r="L77" s="8"/>
      <c r="M77" s="55"/>
      <c r="N77" s="8"/>
      <c r="O77" s="8"/>
      <c r="P77" s="8"/>
      <c r="Q77" s="18"/>
      <c r="R77" s="8"/>
      <c r="S77" s="8"/>
      <c r="T77" s="8"/>
      <c r="U77" s="15"/>
      <c r="V77" s="8"/>
      <c r="W77" s="15"/>
      <c r="X77" s="15"/>
      <c r="Y77" s="15"/>
      <c r="Z77" s="15"/>
      <c r="AA77" s="7"/>
      <c r="AB77" s="7"/>
      <c r="AC77" s="109"/>
      <c r="AD77" s="104"/>
      <c r="AE77" s="106"/>
      <c r="AF77" s="145"/>
      <c r="AG77" s="104"/>
      <c r="AH77" s="106"/>
    </row>
    <row r="78" spans="1:34" s="6" customFormat="1" ht="24">
      <c r="A78" s="3" t="s">
        <v>248</v>
      </c>
      <c r="B78" s="2" t="s">
        <v>170</v>
      </c>
      <c r="C78" s="267"/>
      <c r="D78" s="11"/>
      <c r="E78" s="12"/>
      <c r="F78" s="12"/>
      <c r="G78" s="8"/>
      <c r="H78" s="8"/>
      <c r="I78" s="8"/>
      <c r="J78" s="8"/>
      <c r="K78" s="8"/>
      <c r="L78" s="8"/>
      <c r="M78" s="55"/>
      <c r="N78" s="8"/>
      <c r="O78" s="8"/>
      <c r="P78" s="8"/>
      <c r="Q78" s="18"/>
      <c r="R78" s="8"/>
      <c r="S78" s="8"/>
      <c r="T78" s="8"/>
      <c r="U78" s="15"/>
      <c r="V78" s="8"/>
      <c r="W78" s="15"/>
      <c r="X78" s="15"/>
      <c r="Y78" s="15"/>
      <c r="Z78" s="15"/>
      <c r="AA78" s="7"/>
      <c r="AB78" s="7"/>
      <c r="AC78" s="109"/>
      <c r="AD78" s="104"/>
      <c r="AE78" s="106"/>
      <c r="AF78" s="145"/>
      <c r="AG78" s="104"/>
      <c r="AH78" s="106"/>
    </row>
    <row r="79" spans="1:34" s="75" customFormat="1" ht="15" customHeight="1">
      <c r="A79" s="13" t="s">
        <v>21</v>
      </c>
      <c r="B79" s="20" t="s">
        <v>183</v>
      </c>
      <c r="C79" s="267" t="s">
        <v>136</v>
      </c>
      <c r="D79" s="59" t="s">
        <v>0</v>
      </c>
      <c r="E79" s="12"/>
      <c r="F79" s="12"/>
      <c r="G79" s="55"/>
      <c r="H79" s="55"/>
      <c r="I79" s="55"/>
      <c r="J79" s="55"/>
      <c r="K79" s="55"/>
      <c r="L79" s="55"/>
      <c r="M79" s="55">
        <f>39000/0.5</f>
        <v>78000</v>
      </c>
      <c r="N79" s="55"/>
      <c r="O79" s="55"/>
      <c r="P79" s="55"/>
      <c r="Q79" s="178">
        <f>1/M79</f>
        <v>1.282051282051282E-5</v>
      </c>
      <c r="R79" s="55">
        <f>R$139</f>
        <v>6552</v>
      </c>
      <c r="S79" s="55">
        <v>4</v>
      </c>
      <c r="T79" s="55">
        <v>1.36</v>
      </c>
      <c r="U79" s="74">
        <v>0.4</v>
      </c>
      <c r="V79" s="55">
        <f>R79*T79*(1+U79)*2.6</f>
        <v>32435.020800000006</v>
      </c>
      <c r="W79" s="74">
        <v>0.3</v>
      </c>
      <c r="X79" s="74">
        <v>0.1</v>
      </c>
      <c r="Y79" s="74">
        <v>0.1</v>
      </c>
      <c r="Z79" s="74"/>
      <c r="AA79" s="12">
        <f>Q79*V79*(1+W79+X79)*(1+Y79)*(1+Z79)</f>
        <v>0.64038374400000009</v>
      </c>
      <c r="AB79" s="12">
        <f>ROUND(AA79,2)</f>
        <v>0.64</v>
      </c>
      <c r="AC79" s="108">
        <f>AE79*12</f>
        <v>3035.136</v>
      </c>
      <c r="AD79" s="105">
        <f>IF(AE30=1,$AB79,0)</f>
        <v>0.64</v>
      </c>
      <c r="AE79" s="111">
        <f>AD79*AD$6</f>
        <v>252.928</v>
      </c>
      <c r="AF79" s="108">
        <f>AH79*12</f>
        <v>4029.6960000000008</v>
      </c>
      <c r="AG79" s="105">
        <f>IF(AH30=1,$AB79,0)</f>
        <v>0.64</v>
      </c>
      <c r="AH79" s="111">
        <f>AG79*AG$6</f>
        <v>335.80800000000005</v>
      </c>
    </row>
    <row r="80" spans="1:34" s="6" customFormat="1" ht="48">
      <c r="A80" s="3" t="s">
        <v>249</v>
      </c>
      <c r="B80" s="2" t="s">
        <v>179</v>
      </c>
      <c r="C80" s="267"/>
      <c r="D80" s="11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18"/>
      <c r="R80" s="8">
        <f>R$139</f>
        <v>6552</v>
      </c>
      <c r="S80" s="8"/>
      <c r="T80" s="8"/>
      <c r="U80" s="8"/>
      <c r="V80" s="8"/>
      <c r="W80" s="8"/>
      <c r="X80" s="8"/>
      <c r="Y80" s="8"/>
      <c r="Z80" s="8"/>
      <c r="AA80" s="113"/>
      <c r="AB80" s="7">
        <f>ROUND(AA80,2)</f>
        <v>0</v>
      </c>
      <c r="AC80" s="109"/>
      <c r="AD80" s="104"/>
      <c r="AE80" s="104"/>
      <c r="AF80" s="145"/>
      <c r="AG80" s="104"/>
      <c r="AH80" s="104"/>
    </row>
    <row r="81" spans="1:123" s="6" customFormat="1" ht="36">
      <c r="A81" s="3" t="s">
        <v>250</v>
      </c>
      <c r="B81" s="2" t="s">
        <v>182</v>
      </c>
      <c r="C81" s="267"/>
      <c r="D81" s="11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18"/>
      <c r="R81" s="8"/>
      <c r="S81" s="8"/>
      <c r="T81" s="8"/>
      <c r="U81" s="8"/>
      <c r="V81" s="8"/>
      <c r="W81" s="8"/>
      <c r="X81" s="8"/>
      <c r="Y81" s="8"/>
      <c r="Z81" s="8"/>
      <c r="AA81" s="113"/>
      <c r="AB81" s="7"/>
      <c r="AC81" s="109"/>
      <c r="AD81" s="104"/>
      <c r="AE81" s="104"/>
      <c r="AF81" s="145"/>
      <c r="AG81" s="104"/>
      <c r="AH81" s="104"/>
    </row>
    <row r="82" spans="1:123" s="6" customFormat="1" ht="44.25" customHeight="1">
      <c r="A82" s="3" t="s">
        <v>251</v>
      </c>
      <c r="B82" s="2" t="s">
        <v>184</v>
      </c>
      <c r="C82" s="267"/>
      <c r="D82" s="11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18"/>
      <c r="R82" s="8">
        <f>R$139</f>
        <v>6552</v>
      </c>
      <c r="S82" s="8"/>
      <c r="T82" s="8"/>
      <c r="U82" s="8"/>
      <c r="V82" s="8"/>
      <c r="W82" s="8"/>
      <c r="X82" s="8"/>
      <c r="Y82" s="8"/>
      <c r="Z82" s="8"/>
      <c r="AA82" s="113"/>
      <c r="AB82" s="7">
        <f>ROUND(AA82,2)</f>
        <v>0</v>
      </c>
      <c r="AC82" s="109"/>
      <c r="AD82" s="114"/>
      <c r="AE82" s="104"/>
      <c r="AF82" s="145"/>
      <c r="AG82" s="114"/>
      <c r="AH82" s="104"/>
    </row>
    <row r="83" spans="1:123" s="6" customFormat="1" ht="12.75" customHeight="1">
      <c r="A83" s="3" t="s">
        <v>252</v>
      </c>
      <c r="B83" s="2" t="s">
        <v>185</v>
      </c>
      <c r="C83" s="267"/>
      <c r="D83" s="11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18"/>
      <c r="R83" s="8"/>
      <c r="S83" s="8"/>
      <c r="T83" s="8"/>
      <c r="U83" s="8"/>
      <c r="V83" s="8"/>
      <c r="W83" s="8"/>
      <c r="X83" s="8"/>
      <c r="Y83" s="8"/>
      <c r="Z83" s="8"/>
      <c r="AA83" s="113"/>
      <c r="AB83" s="7"/>
      <c r="AC83" s="109"/>
      <c r="AD83" s="114"/>
      <c r="AE83" s="104"/>
      <c r="AF83" s="145"/>
      <c r="AG83" s="114"/>
      <c r="AH83" s="104"/>
    </row>
    <row r="84" spans="1:123" s="6" customFormat="1" ht="24">
      <c r="A84" s="3" t="s">
        <v>253</v>
      </c>
      <c r="B84" s="2" t="s">
        <v>186</v>
      </c>
      <c r="C84" s="267"/>
      <c r="D84" s="11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18"/>
      <c r="R84" s="8"/>
      <c r="S84" s="8"/>
      <c r="T84" s="8"/>
      <c r="U84" s="8"/>
      <c r="V84" s="8"/>
      <c r="W84" s="8"/>
      <c r="X84" s="8"/>
      <c r="Y84" s="8"/>
      <c r="Z84" s="8"/>
      <c r="AA84" s="113"/>
      <c r="AB84" s="7"/>
      <c r="AC84" s="109"/>
      <c r="AD84" s="114"/>
      <c r="AE84" s="104"/>
      <c r="AF84" s="145"/>
      <c r="AG84" s="114"/>
      <c r="AH84" s="104"/>
    </row>
    <row r="85" spans="1:123" s="6" customFormat="1" ht="12">
      <c r="A85" s="13" t="s">
        <v>19</v>
      </c>
      <c r="B85" s="20" t="s">
        <v>174</v>
      </c>
      <c r="C85" s="267" t="s">
        <v>142</v>
      </c>
      <c r="D85" s="11" t="s">
        <v>0</v>
      </c>
      <c r="E85" s="12"/>
      <c r="F85" s="12"/>
      <c r="G85" s="8"/>
      <c r="H85" s="8"/>
      <c r="I85" s="8"/>
      <c r="J85" s="8"/>
      <c r="K85" s="8"/>
      <c r="L85" s="8"/>
      <c r="M85" s="55">
        <f>39000/0.5</f>
        <v>78000</v>
      </c>
      <c r="N85" s="8"/>
      <c r="O85" s="8"/>
      <c r="P85" s="8"/>
      <c r="Q85" s="18">
        <f>1/M85</f>
        <v>1.282051282051282E-5</v>
      </c>
      <c r="R85" s="8">
        <f>R$139</f>
        <v>6552</v>
      </c>
      <c r="S85" s="8">
        <v>4</v>
      </c>
      <c r="T85" s="8">
        <v>1.36</v>
      </c>
      <c r="U85" s="15">
        <v>0.7</v>
      </c>
      <c r="V85" s="8">
        <f>R85*T85*(1+U85)*2.6</f>
        <v>39385.38240000001</v>
      </c>
      <c r="W85" s="15">
        <v>0.3</v>
      </c>
      <c r="X85" s="15">
        <v>1</v>
      </c>
      <c r="Y85" s="15">
        <v>0.1</v>
      </c>
      <c r="Z85" s="15"/>
      <c r="AA85" s="7">
        <f>Q85*V85*(1+W85+X85)*(1+Y85)*(1+Z85)</f>
        <v>1.2775002240000002</v>
      </c>
      <c r="AB85" s="7">
        <f>ROUND(AA85,2)</f>
        <v>1.28</v>
      </c>
      <c r="AC85" s="109">
        <f>AE85*12</f>
        <v>6070.2719999999999</v>
      </c>
      <c r="AD85" s="104">
        <f>IF(AE30=1,$AB85,0)</f>
        <v>1.28</v>
      </c>
      <c r="AE85" s="106">
        <f>AD85*AD$6</f>
        <v>505.85599999999999</v>
      </c>
      <c r="AF85" s="145">
        <f>AH85*12</f>
        <v>8059.3920000000016</v>
      </c>
      <c r="AG85" s="104">
        <f>IF(AH30=1,$AB85,0)</f>
        <v>1.28</v>
      </c>
      <c r="AH85" s="106">
        <f>AG85*AG$6</f>
        <v>671.6160000000001</v>
      </c>
    </row>
    <row r="86" spans="1:123" s="6" customFormat="1" ht="36">
      <c r="A86" s="3" t="s">
        <v>254</v>
      </c>
      <c r="B86" s="2" t="s">
        <v>176</v>
      </c>
      <c r="C86" s="267"/>
      <c r="D86" s="11"/>
      <c r="E86" s="12"/>
      <c r="F86" s="12"/>
      <c r="G86" s="8"/>
      <c r="H86" s="8"/>
      <c r="I86" s="8"/>
      <c r="J86" s="8"/>
      <c r="K86" s="8"/>
      <c r="L86" s="8"/>
      <c r="M86" s="55"/>
      <c r="N86" s="8"/>
      <c r="O86" s="8"/>
      <c r="P86" s="8"/>
      <c r="Q86" s="18"/>
      <c r="R86" s="8"/>
      <c r="S86" s="8"/>
      <c r="T86" s="8"/>
      <c r="U86" s="15"/>
      <c r="V86" s="8"/>
      <c r="W86" s="15"/>
      <c r="X86" s="15"/>
      <c r="Y86" s="15"/>
      <c r="Z86" s="15"/>
      <c r="AA86" s="7"/>
      <c r="AB86" s="7"/>
      <c r="AC86" s="109"/>
      <c r="AD86" s="104"/>
      <c r="AE86" s="106"/>
      <c r="AF86" s="145"/>
      <c r="AG86" s="104"/>
      <c r="AH86" s="106"/>
    </row>
    <row r="87" spans="1:123" s="6" customFormat="1" ht="24">
      <c r="A87" s="3" t="s">
        <v>255</v>
      </c>
      <c r="B87" s="2" t="s">
        <v>170</v>
      </c>
      <c r="C87" s="267"/>
      <c r="D87" s="11"/>
      <c r="E87" s="12"/>
      <c r="F87" s="12"/>
      <c r="G87" s="8"/>
      <c r="H87" s="8"/>
      <c r="I87" s="8"/>
      <c r="J87" s="8"/>
      <c r="K87" s="8"/>
      <c r="L87" s="8"/>
      <c r="M87" s="55"/>
      <c r="N87" s="8"/>
      <c r="O87" s="8"/>
      <c r="P87" s="8"/>
      <c r="Q87" s="18"/>
      <c r="R87" s="8"/>
      <c r="S87" s="8"/>
      <c r="T87" s="8"/>
      <c r="U87" s="15"/>
      <c r="V87" s="8"/>
      <c r="W87" s="15"/>
      <c r="X87" s="15"/>
      <c r="Y87" s="15"/>
      <c r="Z87" s="15"/>
      <c r="AA87" s="7"/>
      <c r="AB87" s="7"/>
      <c r="AC87" s="109"/>
      <c r="AD87" s="104"/>
      <c r="AE87" s="106"/>
      <c r="AF87" s="145"/>
      <c r="AG87" s="104"/>
      <c r="AH87" s="106"/>
    </row>
    <row r="88" spans="1:123" s="75" customFormat="1" ht="15" customHeight="1">
      <c r="A88" s="13" t="s">
        <v>18</v>
      </c>
      <c r="B88" s="20" t="s">
        <v>144</v>
      </c>
      <c r="C88" s="7"/>
      <c r="D88" s="54"/>
      <c r="E88" s="12"/>
      <c r="F88" s="12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73"/>
      <c r="R88" s="55">
        <f>R$139</f>
        <v>6552</v>
      </c>
      <c r="S88" s="55"/>
      <c r="T88" s="55"/>
      <c r="U88" s="55"/>
      <c r="V88" s="55"/>
      <c r="W88" s="55"/>
      <c r="X88" s="55"/>
      <c r="Y88" s="55"/>
      <c r="Z88" s="55"/>
      <c r="AA88" s="12"/>
      <c r="AB88" s="12">
        <f>ROUND(AA88,2)</f>
        <v>0</v>
      </c>
      <c r="AC88" s="108">
        <f t="shared" ref="AC88:AC94" si="6">AE88*12</f>
        <v>58777.200000000004</v>
      </c>
      <c r="AD88" s="105">
        <f>SUM(AD89:AD90)</f>
        <v>12.393977732793523</v>
      </c>
      <c r="AE88" s="105">
        <f t="shared" ref="AE88" si="7">SUM(AE89:AE90)</f>
        <v>4898.1000000000004</v>
      </c>
      <c r="AF88" s="108">
        <f t="shared" ref="AF88:AF94" si="8">AH88*12</f>
        <v>1574.1000000000001</v>
      </c>
      <c r="AG88" s="105">
        <f t="shared" ref="AG88:AH88" si="9">SUM(AG89:AG90)</f>
        <v>0.25</v>
      </c>
      <c r="AH88" s="105">
        <f t="shared" si="9"/>
        <v>131.17500000000001</v>
      </c>
    </row>
    <row r="89" spans="1:123" s="6" customFormat="1" ht="22.5">
      <c r="A89" s="3" t="s">
        <v>208</v>
      </c>
      <c r="B89" s="2" t="s">
        <v>189</v>
      </c>
      <c r="C89" s="7" t="s">
        <v>136</v>
      </c>
      <c r="D89" s="11" t="s">
        <v>0</v>
      </c>
      <c r="E89" s="8"/>
      <c r="F89" s="8"/>
      <c r="G89" s="8"/>
      <c r="H89" s="8"/>
      <c r="I89" s="8"/>
      <c r="J89" s="8"/>
      <c r="K89" s="8"/>
      <c r="L89" s="8"/>
      <c r="M89" s="55">
        <f>375*54/0.2/0.5</f>
        <v>202500</v>
      </c>
      <c r="N89" s="8"/>
      <c r="O89" s="8"/>
      <c r="P89" s="8"/>
      <c r="Q89" s="18">
        <f>1/M89</f>
        <v>4.9382716049382717E-6</v>
      </c>
      <c r="R89" s="8">
        <f>R$139</f>
        <v>6552</v>
      </c>
      <c r="S89" s="8">
        <v>4</v>
      </c>
      <c r="T89" s="8">
        <v>1.36</v>
      </c>
      <c r="U89" s="15">
        <v>0.4</v>
      </c>
      <c r="V89" s="8">
        <f>R89*T89*(1+U89)*2.6</f>
        <v>32435.020800000006</v>
      </c>
      <c r="W89" s="15">
        <v>0.3</v>
      </c>
      <c r="X89" s="15">
        <v>0.1</v>
      </c>
      <c r="Y89" s="15">
        <v>0.1</v>
      </c>
      <c r="Z89" s="15"/>
      <c r="AA89" s="7">
        <f>Q89*V89*(1+W89+X89)*(1+Y89)*(1+Z89)</f>
        <v>0.2466663310222223</v>
      </c>
      <c r="AB89" s="7">
        <f>ROUND(AA89,2)</f>
        <v>0.25</v>
      </c>
      <c r="AC89" s="109">
        <f t="shared" si="6"/>
        <v>0</v>
      </c>
      <c r="AD89" s="104">
        <f>IF(AE33=1,$AB89,0)</f>
        <v>0</v>
      </c>
      <c r="AE89" s="115">
        <f>AD89*AD$6</f>
        <v>0</v>
      </c>
      <c r="AF89" s="145">
        <f t="shared" si="8"/>
        <v>1574.1000000000001</v>
      </c>
      <c r="AG89" s="104">
        <f>IF(AH30=3,0,$AB89)</f>
        <v>0.25</v>
      </c>
      <c r="AH89" s="115">
        <f>AG89*AG$6</f>
        <v>131.17500000000001</v>
      </c>
      <c r="AI89" s="75"/>
      <c r="AJ89" s="75"/>
    </row>
    <row r="90" spans="1:123" s="6" customFormat="1" ht="12" customHeight="1">
      <c r="A90" s="3" t="s">
        <v>209</v>
      </c>
      <c r="B90" s="2" t="s">
        <v>12</v>
      </c>
      <c r="C90" s="7" t="s">
        <v>8</v>
      </c>
      <c r="D90" s="11" t="s">
        <v>11</v>
      </c>
      <c r="E90" s="8"/>
      <c r="F90" s="8"/>
      <c r="G90" s="8"/>
      <c r="H90" s="8">
        <v>1</v>
      </c>
      <c r="I90" s="8">
        <v>1</v>
      </c>
      <c r="J90" s="10">
        <v>1</v>
      </c>
      <c r="K90" s="10">
        <f>H90*I90*J90</f>
        <v>1</v>
      </c>
      <c r="L90" s="8"/>
      <c r="M90" s="8"/>
      <c r="N90" s="8">
        <v>16327</v>
      </c>
      <c r="O90" s="9">
        <f>N90*K90/12</f>
        <v>1360.5833333333333</v>
      </c>
      <c r="P90" s="8"/>
      <c r="Q90" s="18"/>
      <c r="R90" s="8">
        <f>R$139</f>
        <v>6552</v>
      </c>
      <c r="S90" s="8"/>
      <c r="T90" s="8"/>
      <c r="U90" s="8"/>
      <c r="V90" s="8"/>
      <c r="W90" s="8"/>
      <c r="X90" s="8"/>
      <c r="Y90" s="8"/>
      <c r="Z90" s="8"/>
      <c r="AA90" s="7"/>
      <c r="AB90" s="7">
        <f>O90</f>
        <v>1360.5833333333333</v>
      </c>
      <c r="AC90" s="109">
        <f t="shared" si="6"/>
        <v>58777.200000000004</v>
      </c>
      <c r="AD90" s="104">
        <f>AE90/AD6</f>
        <v>12.393977732793523</v>
      </c>
      <c r="AE90" s="115">
        <f>IF(AE33=4,$AB90/10*AD27,0)</f>
        <v>4898.1000000000004</v>
      </c>
      <c r="AF90" s="145">
        <f t="shared" si="8"/>
        <v>0</v>
      </c>
      <c r="AG90" s="104">
        <f>AH90/AG6</f>
        <v>0</v>
      </c>
      <c r="AH90" s="115">
        <f>IF(AH33=4,$AB90/10*AG27,0)</f>
        <v>0</v>
      </c>
    </row>
    <row r="91" spans="1:123" s="75" customFormat="1" ht="12" customHeight="1">
      <c r="A91" s="13" t="s">
        <v>17</v>
      </c>
      <c r="B91" s="20" t="s">
        <v>187</v>
      </c>
      <c r="C91" s="267" t="s">
        <v>142</v>
      </c>
      <c r="D91" s="59"/>
      <c r="E91" s="12"/>
      <c r="F91" s="12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73"/>
      <c r="R91" s="55">
        <f>R$139</f>
        <v>6552</v>
      </c>
      <c r="S91" s="55">
        <v>4</v>
      </c>
      <c r="T91" s="55">
        <v>1.36</v>
      </c>
      <c r="U91" s="74">
        <v>0.7</v>
      </c>
      <c r="V91" s="55">
        <f>R91*T91*(1+U91)*2.6</f>
        <v>39385.38240000001</v>
      </c>
      <c r="W91" s="55"/>
      <c r="X91" s="74"/>
      <c r="Y91" s="55"/>
      <c r="Z91" s="55"/>
      <c r="AA91" s="12"/>
      <c r="AB91" s="12">
        <f t="shared" ref="AB91:AB97" si="10">ROUND(AA91,2)</f>
        <v>0</v>
      </c>
      <c r="AC91" s="108">
        <f t="shared" si="6"/>
        <v>513.84</v>
      </c>
      <c r="AD91" s="105">
        <f t="shared" ref="AD91:AE91" si="11">SUM(AD92:AD93)</f>
        <v>0.10835020242914981</v>
      </c>
      <c r="AE91" s="105">
        <f t="shared" si="11"/>
        <v>42.82</v>
      </c>
      <c r="AF91" s="108">
        <f t="shared" si="8"/>
        <v>4112.9160000000002</v>
      </c>
      <c r="AG91" s="105">
        <f>SUM(AG92:AG93)</f>
        <v>0.65321707642462357</v>
      </c>
      <c r="AH91" s="105">
        <f t="shared" ref="AH91" si="12">SUM(AH92:AH93)</f>
        <v>342.74299999999999</v>
      </c>
      <c r="DS91" s="132">
        <f>SUM(AB91:DR91)</f>
        <v>5013.0805672788547</v>
      </c>
    </row>
    <row r="92" spans="1:123" s="6" customFormat="1" ht="12">
      <c r="A92" s="3" t="s">
        <v>16</v>
      </c>
      <c r="B92" s="2" t="s">
        <v>188</v>
      </c>
      <c r="C92" s="267"/>
      <c r="D92" s="11" t="s">
        <v>0</v>
      </c>
      <c r="E92" s="8"/>
      <c r="F92" s="8"/>
      <c r="G92" s="8"/>
      <c r="H92" s="8"/>
      <c r="I92" s="8"/>
      <c r="J92" s="8"/>
      <c r="K92" s="8"/>
      <c r="L92" s="8"/>
      <c r="M92" s="55">
        <f>375*54/0.2/0.5</f>
        <v>202500</v>
      </c>
      <c r="N92" s="8"/>
      <c r="O92" s="8"/>
      <c r="P92" s="8"/>
      <c r="Q92" s="18">
        <f>1/M92</f>
        <v>4.9382716049382717E-6</v>
      </c>
      <c r="R92" s="8">
        <f>R$139</f>
        <v>6552</v>
      </c>
      <c r="S92" s="8">
        <v>4</v>
      </c>
      <c r="T92" s="8">
        <v>1.36</v>
      </c>
      <c r="U92" s="15">
        <v>0.7</v>
      </c>
      <c r="V92" s="8">
        <f>R92*T92*(1+U92)*2.6</f>
        <v>39385.38240000001</v>
      </c>
      <c r="W92" s="15">
        <v>0.3</v>
      </c>
      <c r="X92" s="15">
        <v>1</v>
      </c>
      <c r="Y92" s="15">
        <v>0.1</v>
      </c>
      <c r="Z92" s="15"/>
      <c r="AA92" s="7">
        <f>Q92*V92*(1+W92+X92)*(1+Y92)*(1+Z92)</f>
        <v>0.49207416035555568</v>
      </c>
      <c r="AB92" s="7">
        <f t="shared" si="10"/>
        <v>0.49</v>
      </c>
      <c r="AC92" s="109">
        <f t="shared" si="6"/>
        <v>0</v>
      </c>
      <c r="AD92" s="104">
        <f>IF(AE33=2,$AB92,0)</f>
        <v>0</v>
      </c>
      <c r="AE92" s="104">
        <f>AD92*AD$6</f>
        <v>0</v>
      </c>
      <c r="AF92" s="145">
        <f t="shared" si="8"/>
        <v>3085.2359999999999</v>
      </c>
      <c r="AG92" s="104">
        <f>IF(AH33=2,0,$AB92)</f>
        <v>0.49</v>
      </c>
      <c r="AH92" s="104">
        <f>AG92*AG$6</f>
        <v>257.10300000000001</v>
      </c>
    </row>
    <row r="93" spans="1:123" s="6" customFormat="1" ht="12">
      <c r="A93" s="3" t="s">
        <v>15</v>
      </c>
      <c r="B93" s="2" t="s">
        <v>2</v>
      </c>
      <c r="C93" s="267"/>
      <c r="D93" s="11" t="s">
        <v>1</v>
      </c>
      <c r="E93" s="8">
        <f>60*0.86</f>
        <v>51.6</v>
      </c>
      <c r="F93" s="8">
        <v>1</v>
      </c>
      <c r="G93" s="8">
        <f>E93*F93</f>
        <v>51.6</v>
      </c>
      <c r="H93" s="8">
        <v>0.5</v>
      </c>
      <c r="I93" s="8">
        <v>1</v>
      </c>
      <c r="J93" s="10">
        <v>1</v>
      </c>
      <c r="K93" s="19">
        <f>H93*I93*J93</f>
        <v>0.5</v>
      </c>
      <c r="L93" s="9">
        <f>G93*K93/60</f>
        <v>0.43</v>
      </c>
      <c r="M93" s="8">
        <v>1</v>
      </c>
      <c r="N93" s="8">
        <v>1195</v>
      </c>
      <c r="O93" s="9">
        <f>L93*N93/12</f>
        <v>42.820833333333333</v>
      </c>
      <c r="P93" s="8"/>
      <c r="Q93" s="8"/>
      <c r="R93" s="8"/>
      <c r="S93" s="8"/>
      <c r="T93" s="8"/>
      <c r="U93" s="8"/>
      <c r="V93" s="8"/>
      <c r="W93" s="8"/>
      <c r="X93" s="8"/>
      <c r="Y93" s="8"/>
      <c r="Z93" s="15"/>
      <c r="AA93" s="7">
        <f>O93*(1+Z93)</f>
        <v>42.820833333333333</v>
      </c>
      <c r="AB93" s="7">
        <f t="shared" si="10"/>
        <v>42.82</v>
      </c>
      <c r="AC93" s="109">
        <f t="shared" si="6"/>
        <v>513.84</v>
      </c>
      <c r="AD93" s="104">
        <f>AE93/AD$6</f>
        <v>0.10835020242914981</v>
      </c>
      <c r="AE93" s="104">
        <f>IF(AE33&gt;=2,$AB$93*AD$34,0)</f>
        <v>42.82</v>
      </c>
      <c r="AF93" s="145">
        <f t="shared" si="8"/>
        <v>1027.68</v>
      </c>
      <c r="AG93" s="104">
        <f>AH93/AG$6</f>
        <v>0.16321707642462358</v>
      </c>
      <c r="AH93" s="104">
        <f>IF(AH33&gt;=2,$AB$93*AG$34,0)</f>
        <v>85.64</v>
      </c>
    </row>
    <row r="94" spans="1:123" s="75" customFormat="1" ht="15" customHeight="1">
      <c r="A94" s="13" t="s">
        <v>210</v>
      </c>
      <c r="B94" s="20" t="s">
        <v>256</v>
      </c>
      <c r="C94" s="267" t="s">
        <v>10</v>
      </c>
      <c r="D94" s="59" t="s">
        <v>0</v>
      </c>
      <c r="E94" s="12"/>
      <c r="F94" s="12"/>
      <c r="G94" s="55"/>
      <c r="H94" s="55"/>
      <c r="I94" s="55"/>
      <c r="J94" s="55"/>
      <c r="K94" s="55"/>
      <c r="L94" s="55"/>
      <c r="M94" s="55">
        <f>2250*54/0.5</f>
        <v>243000</v>
      </c>
      <c r="N94" s="55"/>
      <c r="O94" s="55"/>
      <c r="P94" s="55"/>
      <c r="Q94" s="73">
        <f>1/M94</f>
        <v>4.11522633744856E-6</v>
      </c>
      <c r="R94" s="55">
        <f>R$139</f>
        <v>6552</v>
      </c>
      <c r="S94" s="55">
        <v>5</v>
      </c>
      <c r="T94" s="55">
        <v>1.51</v>
      </c>
      <c r="U94" s="74">
        <v>0.7</v>
      </c>
      <c r="V94" s="55">
        <f>R94*T94*(1+U94)*2.6</f>
        <v>43729.358400000005</v>
      </c>
      <c r="W94" s="74">
        <v>0.3</v>
      </c>
      <c r="X94" s="74">
        <v>0.3</v>
      </c>
      <c r="Y94" s="74">
        <v>0.1</v>
      </c>
      <c r="Z94" s="74"/>
      <c r="AA94" s="12">
        <f>Q94*V94*(1+W94+X94)*(1+Y94)*(1+Z94)</f>
        <v>0.3167229250370372</v>
      </c>
      <c r="AB94" s="12">
        <f t="shared" si="10"/>
        <v>0.32</v>
      </c>
      <c r="AC94" s="108">
        <f t="shared" si="6"/>
        <v>1517.568</v>
      </c>
      <c r="AD94" s="111">
        <f>$AB94</f>
        <v>0.32</v>
      </c>
      <c r="AE94" s="111">
        <f>AD94*AD$6</f>
        <v>126.464</v>
      </c>
      <c r="AF94" s="108">
        <f t="shared" si="8"/>
        <v>2014.8480000000004</v>
      </c>
      <c r="AG94" s="111">
        <f>$AB94</f>
        <v>0.32</v>
      </c>
      <c r="AH94" s="111">
        <f>AG94*AG$6</f>
        <v>167.90400000000002</v>
      </c>
    </row>
    <row r="95" spans="1:123" s="6" customFormat="1" ht="24">
      <c r="A95" s="3" t="s">
        <v>14</v>
      </c>
      <c r="B95" s="2" t="s">
        <v>190</v>
      </c>
      <c r="C95" s="267"/>
      <c r="D95" s="11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>
        <f>R$139</f>
        <v>6552</v>
      </c>
      <c r="S95" s="8"/>
      <c r="T95" s="8"/>
      <c r="U95" s="8"/>
      <c r="V95" s="8"/>
      <c r="W95" s="8"/>
      <c r="X95" s="8"/>
      <c r="Y95" s="8"/>
      <c r="Z95" s="8"/>
      <c r="AA95" s="7"/>
      <c r="AB95" s="7">
        <f t="shared" si="10"/>
        <v>0</v>
      </c>
      <c r="AC95" s="109"/>
      <c r="AD95" s="104"/>
      <c r="AE95" s="104"/>
      <c r="AF95" s="145"/>
      <c r="AG95" s="104"/>
      <c r="AH95" s="104"/>
    </row>
    <row r="96" spans="1:123" s="6" customFormat="1" ht="24">
      <c r="A96" s="3" t="s">
        <v>263</v>
      </c>
      <c r="B96" s="2" t="s">
        <v>20</v>
      </c>
      <c r="C96" s="267"/>
      <c r="D96" s="11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>
        <f>R$139</f>
        <v>6552</v>
      </c>
      <c r="S96" s="8"/>
      <c r="T96" s="8"/>
      <c r="U96" s="8"/>
      <c r="V96" s="8"/>
      <c r="W96" s="8"/>
      <c r="X96" s="8"/>
      <c r="Y96" s="8"/>
      <c r="Z96" s="8"/>
      <c r="AA96" s="7"/>
      <c r="AB96" s="7">
        <f t="shared" si="10"/>
        <v>0</v>
      </c>
      <c r="AC96" s="109"/>
      <c r="AD96" s="104"/>
      <c r="AE96" s="104"/>
      <c r="AF96" s="145"/>
      <c r="AG96" s="104"/>
      <c r="AH96" s="104"/>
    </row>
    <row r="97" spans="1:34" s="75" customFormat="1" ht="12">
      <c r="A97" s="13" t="s">
        <v>211</v>
      </c>
      <c r="B97" s="20" t="s">
        <v>147</v>
      </c>
      <c r="C97" s="266" t="s">
        <v>136</v>
      </c>
      <c r="D97" s="59" t="s">
        <v>0</v>
      </c>
      <c r="E97" s="12"/>
      <c r="F97" s="12"/>
      <c r="G97" s="55"/>
      <c r="H97" s="55"/>
      <c r="I97" s="55"/>
      <c r="J97" s="55"/>
      <c r="K97" s="55"/>
      <c r="L97" s="55"/>
      <c r="M97" s="55">
        <f>2250*54/0.5</f>
        <v>243000</v>
      </c>
      <c r="N97" s="55"/>
      <c r="O97" s="55"/>
      <c r="P97" s="55"/>
      <c r="Q97" s="73">
        <f>1/M97</f>
        <v>4.11522633744856E-6</v>
      </c>
      <c r="R97" s="55">
        <f>R$139</f>
        <v>6552</v>
      </c>
      <c r="S97" s="55">
        <v>5</v>
      </c>
      <c r="T97" s="55">
        <v>1.51</v>
      </c>
      <c r="U97" s="74">
        <v>0.7</v>
      </c>
      <c r="V97" s="55">
        <f>R97*T97*(1+U97)*2.6</f>
        <v>43729.358400000005</v>
      </c>
      <c r="W97" s="74">
        <v>0.3</v>
      </c>
      <c r="X97" s="74">
        <v>1</v>
      </c>
      <c r="Y97" s="74">
        <v>0.1</v>
      </c>
      <c r="Z97" s="74"/>
      <c r="AA97" s="12">
        <f>Q97*V97*(1+W97+X97)*(1+Y97)*(1+Z97)</f>
        <v>0.45528920474074086</v>
      </c>
      <c r="AB97" s="12">
        <f t="shared" si="10"/>
        <v>0.46</v>
      </c>
      <c r="AC97" s="108">
        <f>AE97*12</f>
        <v>2181.5039999999999</v>
      </c>
      <c r="AD97" s="105">
        <f>$AB97</f>
        <v>0.46</v>
      </c>
      <c r="AE97" s="105">
        <f>AD97*AD$6</f>
        <v>181.792</v>
      </c>
      <c r="AF97" s="108">
        <f>AH97*12</f>
        <v>2896.3440000000001</v>
      </c>
      <c r="AG97" s="105">
        <f>$AB97</f>
        <v>0.46</v>
      </c>
      <c r="AH97" s="105">
        <f>AG97*AG$6</f>
        <v>241.36200000000002</v>
      </c>
    </row>
    <row r="98" spans="1:34" s="6" customFormat="1" ht="12">
      <c r="A98" s="3" t="s">
        <v>13</v>
      </c>
      <c r="B98" s="2" t="s">
        <v>191</v>
      </c>
      <c r="C98" s="266"/>
      <c r="D98" s="11"/>
      <c r="E98" s="12"/>
      <c r="F98" s="12"/>
      <c r="G98" s="8"/>
      <c r="H98" s="8"/>
      <c r="I98" s="8"/>
      <c r="J98" s="8"/>
      <c r="K98" s="8"/>
      <c r="L98" s="8"/>
      <c r="M98" s="55"/>
      <c r="N98" s="8"/>
      <c r="O98" s="8"/>
      <c r="P98" s="8"/>
      <c r="Q98" s="18"/>
      <c r="R98" s="8"/>
      <c r="S98" s="8"/>
      <c r="T98" s="8"/>
      <c r="U98" s="15"/>
      <c r="V98" s="8"/>
      <c r="W98" s="15"/>
      <c r="X98" s="15"/>
      <c r="Y98" s="15"/>
      <c r="Z98" s="15"/>
      <c r="AA98" s="7"/>
      <c r="AB98" s="7"/>
      <c r="AC98" s="109"/>
      <c r="AD98" s="104"/>
      <c r="AE98" s="104"/>
      <c r="AF98" s="145"/>
      <c r="AG98" s="104"/>
      <c r="AH98" s="104"/>
    </row>
    <row r="99" spans="1:34" s="75" customFormat="1" ht="12">
      <c r="A99" s="13" t="s">
        <v>212</v>
      </c>
      <c r="B99" s="20" t="s">
        <v>145</v>
      </c>
      <c r="C99" s="54"/>
      <c r="D99" s="59"/>
      <c r="E99" s="12"/>
      <c r="F99" s="12"/>
      <c r="G99" s="55"/>
      <c r="H99" s="116"/>
      <c r="I99" s="116"/>
      <c r="J99" s="116"/>
      <c r="K99" s="116"/>
      <c r="L99" s="116"/>
      <c r="M99" s="116"/>
      <c r="N99" s="116"/>
      <c r="O99" s="116"/>
      <c r="P99" s="55"/>
      <c r="Q99" s="55"/>
      <c r="R99" s="55">
        <f>R$139</f>
        <v>6552</v>
      </c>
      <c r="S99" s="55"/>
      <c r="T99" s="55"/>
      <c r="U99" s="55"/>
      <c r="V99" s="55"/>
      <c r="W99" s="55"/>
      <c r="X99" s="55"/>
      <c r="Y99" s="55"/>
      <c r="Z99" s="55"/>
      <c r="AA99" s="116"/>
      <c r="AB99" s="116"/>
      <c r="AC99" s="108">
        <f>AE99*12</f>
        <v>6181.5599999999995</v>
      </c>
      <c r="AD99" s="105">
        <f>AE99/AD6</f>
        <v>1.3034665991902834</v>
      </c>
      <c r="AE99" s="105">
        <f>AE100*AD26</f>
        <v>515.13</v>
      </c>
      <c r="AF99" s="108">
        <f>AH99*12</f>
        <v>6743.52</v>
      </c>
      <c r="AG99" s="105">
        <f>AH99/AG6</f>
        <v>1.0710120068610633</v>
      </c>
      <c r="AH99" s="105">
        <f>AH100*AG26</f>
        <v>561.96</v>
      </c>
    </row>
    <row r="100" spans="1:34" s="6" customFormat="1" ht="12">
      <c r="A100" s="3" t="s">
        <v>215</v>
      </c>
      <c r="B100" s="2" t="s">
        <v>9</v>
      </c>
      <c r="C100" s="1" t="s">
        <v>8</v>
      </c>
      <c r="D100" s="11" t="s">
        <v>7</v>
      </c>
      <c r="E100" s="8"/>
      <c r="F100" s="8"/>
      <c r="G100" s="8"/>
      <c r="H100" s="8">
        <v>1</v>
      </c>
      <c r="I100" s="8">
        <v>1</v>
      </c>
      <c r="J100" s="10">
        <v>1</v>
      </c>
      <c r="K100" s="10">
        <f>H100*I100*J100</f>
        <v>1</v>
      </c>
      <c r="L100" s="8"/>
      <c r="M100" s="8"/>
      <c r="N100" s="8">
        <v>562</v>
      </c>
      <c r="O100" s="9">
        <f>N100*K100/12</f>
        <v>46.833333333333336</v>
      </c>
      <c r="P100" s="8"/>
      <c r="Q100" s="8"/>
      <c r="R100" s="8">
        <f>R$139</f>
        <v>6552</v>
      </c>
      <c r="S100" s="8"/>
      <c r="T100" s="8"/>
      <c r="U100" s="8"/>
      <c r="V100" s="8"/>
      <c r="W100" s="8"/>
      <c r="X100" s="8"/>
      <c r="Y100" s="8"/>
      <c r="Z100" s="8"/>
      <c r="AA100" s="7">
        <f>O100*(1+Z99)</f>
        <v>46.833333333333336</v>
      </c>
      <c r="AB100" s="7">
        <f>ROUND(AA100,2)</f>
        <v>46.83</v>
      </c>
      <c r="AC100" s="109">
        <f>AE100*12</f>
        <v>561.96</v>
      </c>
      <c r="AD100" s="106"/>
      <c r="AE100" s="104">
        <f>IF(AE30=2,IF(AE32=2,$AB$100*3,$AB$100*2),$AB$100*1)</f>
        <v>46.83</v>
      </c>
      <c r="AF100" s="145">
        <f>AH100*12</f>
        <v>561.96</v>
      </c>
      <c r="AG100" s="106"/>
      <c r="AH100" s="104">
        <f>IF(AH30=2,IF(AH32=2,$AB$100*3,$AB$100*2),$AB$100*1)</f>
        <v>46.83</v>
      </c>
    </row>
    <row r="101" spans="1:34" s="6" customFormat="1" ht="12" outlineLevel="1">
      <c r="A101" s="21" t="s">
        <v>264</v>
      </c>
      <c r="B101" s="61" t="s">
        <v>6</v>
      </c>
      <c r="C101" s="129"/>
      <c r="D101" s="11"/>
      <c r="E101" s="12"/>
      <c r="F101" s="12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>
        <f>R$139</f>
        <v>6552</v>
      </c>
      <c r="S101" s="8"/>
      <c r="T101" s="8"/>
      <c r="U101" s="8"/>
      <c r="V101" s="8"/>
      <c r="W101" s="8"/>
      <c r="X101" s="8"/>
      <c r="Y101" s="8"/>
      <c r="Z101" s="8"/>
      <c r="AA101" s="7">
        <f>AA102+AA103</f>
        <v>12034.163255400003</v>
      </c>
      <c r="AB101" s="7">
        <f>ROUND(AA101,2)</f>
        <v>12034.16</v>
      </c>
      <c r="AC101" s="109">
        <f>AE101*12</f>
        <v>0</v>
      </c>
      <c r="AD101" s="104">
        <f>AE101/AD6</f>
        <v>0</v>
      </c>
      <c r="AE101" s="104">
        <f>$AB$101*AD$25</f>
        <v>0</v>
      </c>
      <c r="AF101" s="145">
        <f>AH101*12</f>
        <v>0</v>
      </c>
      <c r="AG101" s="104">
        <f>AH101/AG6</f>
        <v>0</v>
      </c>
      <c r="AH101" s="104">
        <f>$AB$101*AG$25</f>
        <v>0</v>
      </c>
    </row>
    <row r="102" spans="1:34" s="6" customFormat="1" ht="12" outlineLevel="1">
      <c r="A102" s="5" t="s">
        <v>265</v>
      </c>
      <c r="B102" s="4" t="s">
        <v>5</v>
      </c>
      <c r="C102" s="262" t="s">
        <v>200</v>
      </c>
      <c r="D102" s="11" t="s">
        <v>3</v>
      </c>
      <c r="E102" s="8"/>
      <c r="F102" s="8"/>
      <c r="G102" s="8"/>
      <c r="H102" s="8"/>
      <c r="I102" s="8"/>
      <c r="J102" s="8"/>
      <c r="K102" s="8"/>
      <c r="L102" s="8"/>
      <c r="M102" s="8">
        <f>16</f>
        <v>16</v>
      </c>
      <c r="N102" s="8"/>
      <c r="O102" s="8"/>
      <c r="P102" s="8"/>
      <c r="Q102" s="8">
        <f>1/M102</f>
        <v>6.25E-2</v>
      </c>
      <c r="R102" s="8">
        <f>R$139</f>
        <v>6552</v>
      </c>
      <c r="S102" s="8">
        <v>5</v>
      </c>
      <c r="T102" s="8">
        <v>1.51</v>
      </c>
      <c r="U102" s="15">
        <v>0.7</v>
      </c>
      <c r="V102" s="8">
        <f>R102*T102*(1+U102)*2.6</f>
        <v>43729.358400000005</v>
      </c>
      <c r="W102" s="15">
        <v>0.3</v>
      </c>
      <c r="X102" s="15">
        <v>0.6</v>
      </c>
      <c r="Y102" s="15">
        <v>0.1</v>
      </c>
      <c r="Z102" s="15"/>
      <c r="AA102" s="113">
        <f>Q102*V102*(1+W102+X102)*(1+Y102)*(1+Z102)</f>
        <v>5712.147441000001</v>
      </c>
      <c r="AB102" s="7">
        <f>ROUND(AA102,2)</f>
        <v>5712.15</v>
      </c>
      <c r="AC102" s="109"/>
      <c r="AD102" s="104"/>
      <c r="AE102" s="104"/>
      <c r="AF102" s="145"/>
      <c r="AG102" s="104"/>
      <c r="AH102" s="104"/>
    </row>
    <row r="103" spans="1:34" s="6" customFormat="1" ht="12" outlineLevel="1">
      <c r="A103" s="5" t="s">
        <v>266</v>
      </c>
      <c r="B103" s="4" t="s">
        <v>4</v>
      </c>
      <c r="C103" s="263"/>
      <c r="D103" s="11" t="s">
        <v>3</v>
      </c>
      <c r="E103" s="8"/>
      <c r="F103" s="8"/>
      <c r="G103" s="8"/>
      <c r="H103" s="8"/>
      <c r="I103" s="8"/>
      <c r="J103" s="8"/>
      <c r="K103" s="8"/>
      <c r="L103" s="8"/>
      <c r="M103" s="8">
        <v>17.5</v>
      </c>
      <c r="N103" s="8"/>
      <c r="O103" s="8"/>
      <c r="P103" s="8"/>
      <c r="Q103" s="18">
        <f>1/M103</f>
        <v>5.7142857142857141E-2</v>
      </c>
      <c r="R103" s="8">
        <f>R$139</f>
        <v>6552</v>
      </c>
      <c r="S103" s="8">
        <v>5</v>
      </c>
      <c r="T103" s="8">
        <v>1.51</v>
      </c>
      <c r="U103" s="15">
        <v>0.7</v>
      </c>
      <c r="V103" s="8">
        <f>R103*T103*(1+U103)*2.6</f>
        <v>43729.358400000005</v>
      </c>
      <c r="W103" s="15">
        <v>0.3</v>
      </c>
      <c r="X103" s="15">
        <v>1</v>
      </c>
      <c r="Y103" s="15">
        <v>0.1</v>
      </c>
      <c r="Z103" s="15"/>
      <c r="AA103" s="113">
        <f>Q103*V103*(1+W103+X103)*(1+Y103)*(1+Z103)</f>
        <v>6322.0158144000006</v>
      </c>
      <c r="AB103" s="7">
        <f>ROUND(AA103,2)</f>
        <v>6322.02</v>
      </c>
      <c r="AC103" s="109"/>
      <c r="AD103" s="104"/>
      <c r="AE103" s="104"/>
      <c r="AF103" s="145"/>
      <c r="AG103" s="104"/>
      <c r="AH103" s="104"/>
    </row>
    <row r="104" spans="1:34" s="6" customFormat="1" ht="24">
      <c r="A104" s="21"/>
      <c r="B104" s="142" t="s">
        <v>139</v>
      </c>
      <c r="C104" s="1"/>
      <c r="D104" s="11"/>
      <c r="E104" s="1"/>
      <c r="F104" s="1"/>
      <c r="G104" s="8"/>
      <c r="H104" s="8"/>
      <c r="I104" s="8"/>
      <c r="J104" s="10"/>
      <c r="K104" s="10"/>
      <c r="L104" s="19"/>
      <c r="M104" s="8"/>
      <c r="N104" s="8"/>
      <c r="O104" s="8"/>
      <c r="P104" s="19"/>
      <c r="Q104" s="18"/>
      <c r="R104" s="8"/>
      <c r="S104" s="8"/>
      <c r="T104" s="8"/>
      <c r="U104" s="17"/>
      <c r="V104" s="8"/>
      <c r="W104" s="15"/>
      <c r="X104" s="15"/>
      <c r="Y104" s="15"/>
      <c r="Z104" s="15"/>
      <c r="AA104" s="7"/>
      <c r="AB104" s="7"/>
      <c r="AC104" s="108">
        <f t="shared" ref="AC104:AE104" si="13">AC105+AC117+AC119+AC130+AC132+AC133</f>
        <v>162837.2352</v>
      </c>
      <c r="AD104" s="108">
        <f t="shared" si="13"/>
        <v>34.336461538461542</v>
      </c>
      <c r="AE104" s="108">
        <f t="shared" si="13"/>
        <v>13569.769600000001</v>
      </c>
      <c r="AF104" s="108">
        <f t="shared" ref="AF104:AH104" si="14">AF105+AF117+AF119+AF130+AF132+AF133</f>
        <v>184285.57439999998</v>
      </c>
      <c r="AG104" s="108">
        <f t="shared" si="14"/>
        <v>29.268403278063655</v>
      </c>
      <c r="AH104" s="108">
        <f t="shared" si="14"/>
        <v>15357.131200000002</v>
      </c>
    </row>
    <row r="105" spans="1:34" s="6" customFormat="1" ht="12">
      <c r="A105" s="13" t="s">
        <v>203</v>
      </c>
      <c r="B105" s="20" t="s">
        <v>67</v>
      </c>
      <c r="C105" s="54"/>
      <c r="D105" s="54"/>
      <c r="E105" s="54"/>
      <c r="F105" s="54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12"/>
      <c r="AB105" s="12"/>
      <c r="AC105" s="108">
        <f t="shared" ref="AC105:AC132" si="15">AE105*12</f>
        <v>37291.991999999998</v>
      </c>
      <c r="AD105" s="105">
        <f>SUM(AD106:AD115)</f>
        <v>7.8635273279352234</v>
      </c>
      <c r="AE105" s="105">
        <f>SUM(AE106:AE115)</f>
        <v>3107.6660000000002</v>
      </c>
      <c r="AF105" s="108">
        <f t="shared" ref="AF105:AF119" si="16">AH105*12</f>
        <v>35557.619999999995</v>
      </c>
      <c r="AG105" s="105">
        <f>SUM(AG106:AG115)</f>
        <v>5.6472936916333136</v>
      </c>
      <c r="AH105" s="105">
        <f>SUM(AH106:AH115)</f>
        <v>2963.1349999999998</v>
      </c>
    </row>
    <row r="106" spans="1:34" s="6" customFormat="1" ht="13.5" customHeight="1">
      <c r="A106" s="3" t="s">
        <v>216</v>
      </c>
      <c r="B106" s="2" t="s">
        <v>202</v>
      </c>
      <c r="C106" s="1" t="s">
        <v>48</v>
      </c>
      <c r="D106" s="1" t="s">
        <v>61</v>
      </c>
      <c r="E106" s="55">
        <v>0.59</v>
      </c>
      <c r="F106" s="8">
        <v>1</v>
      </c>
      <c r="G106" s="8">
        <f t="shared" ref="G106:G112" si="17">E106*F106</f>
        <v>0.59</v>
      </c>
      <c r="H106" s="8">
        <v>3</v>
      </c>
      <c r="I106" s="9">
        <f>52/12</f>
        <v>4.333333333333333</v>
      </c>
      <c r="J106" s="10">
        <v>12</v>
      </c>
      <c r="K106" s="10">
        <f t="shared" ref="K106:K112" si="18">H106*I106*J106</f>
        <v>156</v>
      </c>
      <c r="L106" s="19">
        <f t="shared" ref="L106:L112" si="19">G106*K106/60</f>
        <v>1.5339999999999998</v>
      </c>
      <c r="M106" s="19"/>
      <c r="N106" s="19"/>
      <c r="O106" s="19"/>
      <c r="P106" s="19">
        <f t="shared" ref="P106:P116" si="20">36*(52-8)</f>
        <v>1584</v>
      </c>
      <c r="Q106" s="18">
        <f t="shared" ref="Q106:Q112" si="21">L106/P106</f>
        <v>9.6843434343434336E-4</v>
      </c>
      <c r="R106" s="8">
        <f t="shared" ref="R106:R129" si="22">R$139</f>
        <v>6552</v>
      </c>
      <c r="S106" s="8">
        <v>2</v>
      </c>
      <c r="T106" s="8">
        <v>1.1100000000000001</v>
      </c>
      <c r="U106" s="17">
        <v>0.4</v>
      </c>
      <c r="V106" s="8">
        <f t="shared" ref="V106:V112" si="23">R106*T106*(1+U106)*2.6</f>
        <v>26472.700799999999</v>
      </c>
      <c r="W106" s="15">
        <v>0.3</v>
      </c>
      <c r="X106" s="15">
        <v>0.1</v>
      </c>
      <c r="Y106" s="15">
        <v>0.1</v>
      </c>
      <c r="Z106" s="15"/>
      <c r="AA106" s="7">
        <f t="shared" ref="AA106:AA112" si="24">Q106*V106*(1+W106+X106)*(1+Y106)*(1+Z106)</f>
        <v>39.481091832000004</v>
      </c>
      <c r="AB106" s="7">
        <f t="shared" ref="AB106:AB132" si="25">ROUND(AA106,2)</f>
        <v>39.479999999999997</v>
      </c>
      <c r="AC106" s="109">
        <f t="shared" si="15"/>
        <v>26625.311999999998</v>
      </c>
      <c r="AD106" s="104">
        <f t="shared" ref="AD106:AD116" si="26">AE106/AD$6</f>
        <v>5.6143117408906882</v>
      </c>
      <c r="AE106" s="104">
        <f>$AB106*AD$9</f>
        <v>2218.7759999999998</v>
      </c>
      <c r="AF106" s="145">
        <f t="shared" si="16"/>
        <v>25346.159999999996</v>
      </c>
      <c r="AG106" s="104">
        <f t="shared" ref="AG106:AG116" si="27">AH106/AG$6</f>
        <v>4.0255002858776434</v>
      </c>
      <c r="AH106" s="104">
        <f>$AB106*AG$9</f>
        <v>2112.1799999999998</v>
      </c>
    </row>
    <row r="107" spans="1:34" s="6" customFormat="1" ht="12">
      <c r="A107" s="3" t="s">
        <v>217</v>
      </c>
      <c r="B107" s="2" t="s">
        <v>201</v>
      </c>
      <c r="C107" s="1" t="s">
        <v>56</v>
      </c>
      <c r="D107" s="1" t="s">
        <v>61</v>
      </c>
      <c r="E107" s="55">
        <v>1.35</v>
      </c>
      <c r="F107" s="8">
        <v>1</v>
      </c>
      <c r="G107" s="8">
        <f>E107*F107</f>
        <v>1.35</v>
      </c>
      <c r="H107" s="8">
        <v>2</v>
      </c>
      <c r="I107" s="8">
        <v>1</v>
      </c>
      <c r="J107" s="10">
        <v>12</v>
      </c>
      <c r="K107" s="10">
        <f>H107*I107*J107</f>
        <v>24</v>
      </c>
      <c r="L107" s="19">
        <f>G107*K107/60</f>
        <v>0.54000000000000015</v>
      </c>
      <c r="M107" s="19"/>
      <c r="N107" s="19"/>
      <c r="O107" s="19"/>
      <c r="P107" s="19">
        <f t="shared" si="20"/>
        <v>1584</v>
      </c>
      <c r="Q107" s="18">
        <f>L107/P107</f>
        <v>3.4090909090909099E-4</v>
      </c>
      <c r="R107" s="8">
        <f t="shared" si="22"/>
        <v>6552</v>
      </c>
      <c r="S107" s="8">
        <v>2</v>
      </c>
      <c r="T107" s="8">
        <v>1.1100000000000001</v>
      </c>
      <c r="U107" s="17">
        <v>0.4</v>
      </c>
      <c r="V107" s="8">
        <f>R107*T107*(1+U107)*2.6</f>
        <v>26472.700799999999</v>
      </c>
      <c r="W107" s="15">
        <v>0.3</v>
      </c>
      <c r="X107" s="15">
        <v>0.1</v>
      </c>
      <c r="Y107" s="15">
        <v>0.1</v>
      </c>
      <c r="Z107" s="15"/>
      <c r="AA107" s="7">
        <f>Q107*V107*(1+W107+X107)*(1+Y107)*(1+Z107)</f>
        <v>13.898167920000004</v>
      </c>
      <c r="AB107" s="7">
        <f t="shared" si="25"/>
        <v>13.9</v>
      </c>
      <c r="AC107" s="109">
        <f t="shared" si="15"/>
        <v>9374.16</v>
      </c>
      <c r="AD107" s="104">
        <f t="shared" si="26"/>
        <v>1.9766700404858302</v>
      </c>
      <c r="AE107" s="104">
        <f>$AB107*AD$9</f>
        <v>781.18000000000006</v>
      </c>
      <c r="AF107" s="145">
        <f t="shared" si="16"/>
        <v>8923.7999999999993</v>
      </c>
      <c r="AG107" s="104">
        <f t="shared" si="27"/>
        <v>1.4172860682294643</v>
      </c>
      <c r="AH107" s="104">
        <f>$AB107*AG$9</f>
        <v>743.65</v>
      </c>
    </row>
    <row r="108" spans="1:34" s="6" customFormat="1" ht="12" customHeight="1" outlineLevel="1">
      <c r="A108" s="3" t="s">
        <v>218</v>
      </c>
      <c r="B108" s="2" t="s">
        <v>58</v>
      </c>
      <c r="C108" s="1" t="s">
        <v>48</v>
      </c>
      <c r="D108" s="1" t="s">
        <v>55</v>
      </c>
      <c r="E108" s="55">
        <v>0.62</v>
      </c>
      <c r="F108" s="8">
        <v>1</v>
      </c>
      <c r="G108" s="8">
        <f t="shared" si="17"/>
        <v>0.62</v>
      </c>
      <c r="H108" s="8">
        <v>3</v>
      </c>
      <c r="I108" s="9">
        <f>52/12</f>
        <v>4.333333333333333</v>
      </c>
      <c r="J108" s="10">
        <v>12</v>
      </c>
      <c r="K108" s="10">
        <f t="shared" si="18"/>
        <v>156</v>
      </c>
      <c r="L108" s="19">
        <f t="shared" si="19"/>
        <v>1.6119999999999999</v>
      </c>
      <c r="M108" s="19"/>
      <c r="N108" s="19"/>
      <c r="O108" s="19"/>
      <c r="P108" s="19">
        <f t="shared" si="20"/>
        <v>1584</v>
      </c>
      <c r="Q108" s="18">
        <f t="shared" si="21"/>
        <v>1.0176767676767676E-3</v>
      </c>
      <c r="R108" s="8">
        <f t="shared" si="22"/>
        <v>6552</v>
      </c>
      <c r="S108" s="8">
        <v>2</v>
      </c>
      <c r="T108" s="8">
        <v>1.1100000000000001</v>
      </c>
      <c r="U108" s="17">
        <v>0.4</v>
      </c>
      <c r="V108" s="8">
        <f t="shared" si="23"/>
        <v>26472.700799999999</v>
      </c>
      <c r="W108" s="15">
        <v>0.3</v>
      </c>
      <c r="X108" s="15">
        <v>0.1</v>
      </c>
      <c r="Y108" s="15">
        <v>0.1</v>
      </c>
      <c r="Z108" s="15"/>
      <c r="AA108" s="7">
        <f t="shared" si="24"/>
        <v>41.488604976000005</v>
      </c>
      <c r="AB108" s="7">
        <f t="shared" si="25"/>
        <v>41.49</v>
      </c>
      <c r="AC108" s="109">
        <f t="shared" si="15"/>
        <v>0</v>
      </c>
      <c r="AD108" s="104">
        <f t="shared" si="26"/>
        <v>0</v>
      </c>
      <c r="AE108" s="104">
        <f>$AB108*AD$10</f>
        <v>0</v>
      </c>
      <c r="AF108" s="145">
        <f t="shared" si="16"/>
        <v>0</v>
      </c>
      <c r="AG108" s="104">
        <f t="shared" si="27"/>
        <v>0</v>
      </c>
      <c r="AH108" s="104">
        <f>$AB108*AG$10</f>
        <v>0</v>
      </c>
    </row>
    <row r="109" spans="1:34" s="6" customFormat="1" ht="12" customHeight="1" outlineLevel="1">
      <c r="A109" s="3" t="s">
        <v>219</v>
      </c>
      <c r="B109" s="2" t="s">
        <v>57</v>
      </c>
      <c r="C109" s="1" t="s">
        <v>56</v>
      </c>
      <c r="D109" s="1" t="s">
        <v>55</v>
      </c>
      <c r="E109" s="55">
        <v>0.78</v>
      </c>
      <c r="F109" s="8">
        <v>1</v>
      </c>
      <c r="G109" s="8">
        <f t="shared" si="17"/>
        <v>0.78</v>
      </c>
      <c r="H109" s="8">
        <v>2</v>
      </c>
      <c r="I109" s="8">
        <v>1</v>
      </c>
      <c r="J109" s="10">
        <v>12</v>
      </c>
      <c r="K109" s="10">
        <f t="shared" si="18"/>
        <v>24</v>
      </c>
      <c r="L109" s="19">
        <f t="shared" si="19"/>
        <v>0.312</v>
      </c>
      <c r="M109" s="19"/>
      <c r="N109" s="19"/>
      <c r="O109" s="19"/>
      <c r="P109" s="19">
        <f t="shared" si="20"/>
        <v>1584</v>
      </c>
      <c r="Q109" s="18">
        <f t="shared" si="21"/>
        <v>1.9696969696969698E-4</v>
      </c>
      <c r="R109" s="8">
        <f t="shared" si="22"/>
        <v>6552</v>
      </c>
      <c r="S109" s="8">
        <v>2</v>
      </c>
      <c r="T109" s="8">
        <v>1.1100000000000001</v>
      </c>
      <c r="U109" s="17">
        <v>0.4</v>
      </c>
      <c r="V109" s="8">
        <f t="shared" si="23"/>
        <v>26472.700799999999</v>
      </c>
      <c r="W109" s="15">
        <v>0.3</v>
      </c>
      <c r="X109" s="15">
        <v>0.1</v>
      </c>
      <c r="Y109" s="15">
        <v>0.1</v>
      </c>
      <c r="Z109" s="15"/>
      <c r="AA109" s="7">
        <f t="shared" si="24"/>
        <v>8.030052576000001</v>
      </c>
      <c r="AB109" s="7">
        <f t="shared" si="25"/>
        <v>8.0299999999999994</v>
      </c>
      <c r="AC109" s="109">
        <f t="shared" si="15"/>
        <v>0</v>
      </c>
      <c r="AD109" s="104">
        <f t="shared" si="26"/>
        <v>0</v>
      </c>
      <c r="AE109" s="104">
        <f>$AB109*AD$10</f>
        <v>0</v>
      </c>
      <c r="AF109" s="145">
        <f t="shared" si="16"/>
        <v>0</v>
      </c>
      <c r="AG109" s="104">
        <f t="shared" si="27"/>
        <v>0</v>
      </c>
      <c r="AH109" s="104">
        <f>$AB109*AG$10</f>
        <v>0</v>
      </c>
    </row>
    <row r="110" spans="1:34" s="6" customFormat="1" ht="12" outlineLevel="1">
      <c r="A110" s="3" t="s">
        <v>220</v>
      </c>
      <c r="B110" s="2" t="s">
        <v>54</v>
      </c>
      <c r="C110" s="144" t="s">
        <v>59</v>
      </c>
      <c r="D110" s="11" t="s">
        <v>257</v>
      </c>
      <c r="E110" s="55">
        <v>0.6</v>
      </c>
      <c r="F110" s="8">
        <v>1.5</v>
      </c>
      <c r="G110" s="8">
        <f t="shared" si="17"/>
        <v>0.89999999999999991</v>
      </c>
      <c r="H110" s="8">
        <v>3</v>
      </c>
      <c r="I110" s="9">
        <f>52/12</f>
        <v>4.333333333333333</v>
      </c>
      <c r="J110" s="10">
        <v>12</v>
      </c>
      <c r="K110" s="10">
        <f t="shared" si="18"/>
        <v>156</v>
      </c>
      <c r="L110" s="19">
        <f t="shared" si="19"/>
        <v>2.3399999999999994</v>
      </c>
      <c r="M110" s="19"/>
      <c r="N110" s="19"/>
      <c r="O110" s="19"/>
      <c r="P110" s="19">
        <f t="shared" si="20"/>
        <v>1584</v>
      </c>
      <c r="Q110" s="18">
        <f t="shared" si="21"/>
        <v>1.4772727272727268E-3</v>
      </c>
      <c r="R110" s="8">
        <f t="shared" si="22"/>
        <v>6552</v>
      </c>
      <c r="S110" s="8">
        <v>2</v>
      </c>
      <c r="T110" s="8">
        <v>1.1100000000000001</v>
      </c>
      <c r="U110" s="17">
        <v>0.4</v>
      </c>
      <c r="V110" s="8">
        <f t="shared" si="23"/>
        <v>26472.700799999999</v>
      </c>
      <c r="W110" s="15">
        <v>0.3</v>
      </c>
      <c r="X110" s="15">
        <v>0.1</v>
      </c>
      <c r="Y110" s="15">
        <v>0.1</v>
      </c>
      <c r="Z110" s="15"/>
      <c r="AA110" s="7">
        <f t="shared" si="24"/>
        <v>60.225394319999992</v>
      </c>
      <c r="AB110" s="7">
        <f t="shared" si="25"/>
        <v>60.23</v>
      </c>
      <c r="AC110" s="109">
        <f t="shared" si="15"/>
        <v>0</v>
      </c>
      <c r="AD110" s="104">
        <f t="shared" si="26"/>
        <v>0</v>
      </c>
      <c r="AE110" s="98">
        <f>$AB110*AD$25</f>
        <v>0</v>
      </c>
      <c r="AF110" s="145">
        <f t="shared" si="16"/>
        <v>0</v>
      </c>
      <c r="AG110" s="104">
        <f t="shared" si="27"/>
        <v>0</v>
      </c>
      <c r="AH110" s="98">
        <f>$AB110*AG$25</f>
        <v>0</v>
      </c>
    </row>
    <row r="111" spans="1:34" s="6" customFormat="1" ht="12" outlineLevel="1">
      <c r="A111" s="3" t="s">
        <v>221</v>
      </c>
      <c r="B111" s="2" t="s">
        <v>53</v>
      </c>
      <c r="C111" s="144" t="s">
        <v>59</v>
      </c>
      <c r="D111" s="11" t="s">
        <v>257</v>
      </c>
      <c r="E111" s="55">
        <v>1.06</v>
      </c>
      <c r="F111" s="8">
        <v>1.5</v>
      </c>
      <c r="G111" s="8">
        <f t="shared" si="17"/>
        <v>1.59</v>
      </c>
      <c r="H111" s="8">
        <v>1</v>
      </c>
      <c r="I111" s="9">
        <f>52/12</f>
        <v>4.333333333333333</v>
      </c>
      <c r="J111" s="10">
        <v>12</v>
      </c>
      <c r="K111" s="10">
        <f t="shared" si="18"/>
        <v>52</v>
      </c>
      <c r="L111" s="19">
        <f t="shared" si="19"/>
        <v>1.3780000000000001</v>
      </c>
      <c r="M111" s="19"/>
      <c r="N111" s="19"/>
      <c r="O111" s="19"/>
      <c r="P111" s="19">
        <f t="shared" si="20"/>
        <v>1584</v>
      </c>
      <c r="Q111" s="18">
        <f t="shared" si="21"/>
        <v>8.6994949494949498E-4</v>
      </c>
      <c r="R111" s="8">
        <f t="shared" si="22"/>
        <v>6552</v>
      </c>
      <c r="S111" s="8">
        <v>2</v>
      </c>
      <c r="T111" s="8">
        <v>1.1100000000000001</v>
      </c>
      <c r="U111" s="17">
        <v>0.4</v>
      </c>
      <c r="V111" s="8">
        <f t="shared" si="23"/>
        <v>26472.700799999999</v>
      </c>
      <c r="W111" s="15">
        <v>0.3</v>
      </c>
      <c r="X111" s="15">
        <v>0.1</v>
      </c>
      <c r="Y111" s="15">
        <v>0.1</v>
      </c>
      <c r="Z111" s="15"/>
      <c r="AA111" s="7">
        <f t="shared" si="24"/>
        <v>35.466065544000003</v>
      </c>
      <c r="AB111" s="7">
        <f t="shared" si="25"/>
        <v>35.47</v>
      </c>
      <c r="AC111" s="109">
        <f t="shared" si="15"/>
        <v>0</v>
      </c>
      <c r="AD111" s="104">
        <f t="shared" si="26"/>
        <v>0</v>
      </c>
      <c r="AE111" s="98">
        <f>$AB111*AD$25</f>
        <v>0</v>
      </c>
      <c r="AF111" s="145">
        <f t="shared" si="16"/>
        <v>0</v>
      </c>
      <c r="AG111" s="104">
        <f t="shared" si="27"/>
        <v>0</v>
      </c>
      <c r="AH111" s="98">
        <f>$AB111*AG$25</f>
        <v>0</v>
      </c>
    </row>
    <row r="112" spans="1:34" s="6" customFormat="1" ht="12" outlineLevel="1">
      <c r="A112" s="3" t="s">
        <v>222</v>
      </c>
      <c r="B112" s="2" t="s">
        <v>52</v>
      </c>
      <c r="C112" s="144" t="s">
        <v>59</v>
      </c>
      <c r="D112" s="11" t="s">
        <v>257</v>
      </c>
      <c r="E112" s="55">
        <v>1.2</v>
      </c>
      <c r="F112" s="8">
        <f>((1.5+1)*2+1)*2</f>
        <v>12</v>
      </c>
      <c r="G112" s="8">
        <f t="shared" si="17"/>
        <v>14.399999999999999</v>
      </c>
      <c r="H112" s="8">
        <v>6</v>
      </c>
      <c r="I112" s="8">
        <v>1</v>
      </c>
      <c r="J112" s="8">
        <v>1</v>
      </c>
      <c r="K112" s="10">
        <f t="shared" si="18"/>
        <v>6</v>
      </c>
      <c r="L112" s="19">
        <f t="shared" si="19"/>
        <v>1.44</v>
      </c>
      <c r="M112" s="19"/>
      <c r="N112" s="19"/>
      <c r="O112" s="19"/>
      <c r="P112" s="19">
        <f t="shared" si="20"/>
        <v>1584</v>
      </c>
      <c r="Q112" s="18">
        <f t="shared" si="21"/>
        <v>9.0909090909090909E-4</v>
      </c>
      <c r="R112" s="8">
        <f t="shared" si="22"/>
        <v>6552</v>
      </c>
      <c r="S112" s="8">
        <v>2</v>
      </c>
      <c r="T112" s="8">
        <v>1.1100000000000001</v>
      </c>
      <c r="U112" s="17">
        <v>0.4</v>
      </c>
      <c r="V112" s="8">
        <f t="shared" si="23"/>
        <v>26472.700799999999</v>
      </c>
      <c r="W112" s="15">
        <v>0.3</v>
      </c>
      <c r="X112" s="15">
        <v>0.1</v>
      </c>
      <c r="Y112" s="15">
        <v>0.1</v>
      </c>
      <c r="Z112" s="15"/>
      <c r="AA112" s="7">
        <f t="shared" si="24"/>
        <v>37.061781119999999</v>
      </c>
      <c r="AB112" s="7">
        <f t="shared" si="25"/>
        <v>37.06</v>
      </c>
      <c r="AC112" s="109">
        <f t="shared" si="15"/>
        <v>0</v>
      </c>
      <c r="AD112" s="104">
        <f t="shared" si="26"/>
        <v>0</v>
      </c>
      <c r="AE112" s="98">
        <f>$AB112*AD$25</f>
        <v>0</v>
      </c>
      <c r="AF112" s="145">
        <f t="shared" si="16"/>
        <v>0</v>
      </c>
      <c r="AG112" s="104">
        <f t="shared" si="27"/>
        <v>0</v>
      </c>
      <c r="AH112" s="98">
        <f>$AB112*AG$25</f>
        <v>0</v>
      </c>
    </row>
    <row r="113" spans="1:34" s="6" customFormat="1" ht="12">
      <c r="A113" s="3" t="s">
        <v>223</v>
      </c>
      <c r="B113" s="2" t="s">
        <v>60</v>
      </c>
      <c r="C113" s="1" t="s">
        <v>10</v>
      </c>
      <c r="D113" s="1" t="s">
        <v>51</v>
      </c>
      <c r="E113" s="55">
        <v>1.36</v>
      </c>
      <c r="F113" s="16">
        <f>1*0.25/40</f>
        <v>6.2500000000000003E-3</v>
      </c>
      <c r="G113" s="8">
        <f>E113*F113</f>
        <v>8.5000000000000006E-3</v>
      </c>
      <c r="H113" s="8">
        <v>2</v>
      </c>
      <c r="I113" s="8">
        <v>1</v>
      </c>
      <c r="J113" s="10">
        <v>1</v>
      </c>
      <c r="K113" s="10">
        <f>H113*I113*J113</f>
        <v>2</v>
      </c>
      <c r="L113" s="19">
        <f>G113*K113/60</f>
        <v>2.8333333333333335E-4</v>
      </c>
      <c r="M113" s="19"/>
      <c r="N113" s="19"/>
      <c r="O113" s="19"/>
      <c r="P113" s="19">
        <f t="shared" si="20"/>
        <v>1584</v>
      </c>
      <c r="Q113" s="18">
        <f>L113/P113</f>
        <v>1.7887205387205387E-7</v>
      </c>
      <c r="R113" s="8">
        <f t="shared" si="22"/>
        <v>6552</v>
      </c>
      <c r="S113" s="8">
        <v>2</v>
      </c>
      <c r="T113" s="8">
        <v>1.1100000000000001</v>
      </c>
      <c r="U113" s="17">
        <v>0.4</v>
      </c>
      <c r="V113" s="8">
        <f>R113*T113*(1+U113)*2.6</f>
        <v>26472.700799999999</v>
      </c>
      <c r="W113" s="15">
        <v>0.3</v>
      </c>
      <c r="X113" s="15">
        <v>0.1</v>
      </c>
      <c r="Y113" s="15">
        <v>0.1</v>
      </c>
      <c r="Z113" s="15"/>
      <c r="AA113" s="7">
        <f>Q113*V113*(1+W113+X113)*(1+Y113)*(1+Z113)</f>
        <v>7.2922486000000014E-3</v>
      </c>
      <c r="AB113" s="7">
        <f t="shared" si="25"/>
        <v>0.01</v>
      </c>
      <c r="AC113" s="109">
        <f t="shared" si="15"/>
        <v>6.7440000000000007</v>
      </c>
      <c r="AD113" s="104">
        <f t="shared" si="26"/>
        <v>1.4220647773279353E-3</v>
      </c>
      <c r="AE113" s="104">
        <f>$AB113*AD$8</f>
        <v>0.56200000000000006</v>
      </c>
      <c r="AF113" s="145">
        <f t="shared" si="16"/>
        <v>6.42</v>
      </c>
      <c r="AG113" s="104">
        <f t="shared" si="27"/>
        <v>1.0196302649132837E-3</v>
      </c>
      <c r="AH113" s="104">
        <f>$AB113*AG$8</f>
        <v>0.53500000000000003</v>
      </c>
    </row>
    <row r="114" spans="1:34" s="6" customFormat="1" ht="12">
      <c r="A114" s="3" t="s">
        <v>224</v>
      </c>
      <c r="B114" s="2" t="s">
        <v>62</v>
      </c>
      <c r="C114" s="1" t="s">
        <v>59</v>
      </c>
      <c r="D114" s="1" t="s">
        <v>51</v>
      </c>
      <c r="E114" s="56">
        <v>1.0900000000000001</v>
      </c>
      <c r="F114" s="57">
        <f>(0.2*5)/40</f>
        <v>2.5000000000000001E-2</v>
      </c>
      <c r="G114" s="8">
        <f>E114*F114</f>
        <v>2.7250000000000003E-2</v>
      </c>
      <c r="H114" s="8">
        <v>1</v>
      </c>
      <c r="I114" s="8">
        <v>1</v>
      </c>
      <c r="J114" s="10">
        <v>12</v>
      </c>
      <c r="K114" s="10">
        <f>H114*I114*J114</f>
        <v>12</v>
      </c>
      <c r="L114" s="19">
        <f>G114*K114/60</f>
        <v>5.4500000000000009E-3</v>
      </c>
      <c r="M114" s="19"/>
      <c r="N114" s="19"/>
      <c r="O114" s="19"/>
      <c r="P114" s="19">
        <f t="shared" si="20"/>
        <v>1584</v>
      </c>
      <c r="Q114" s="18">
        <f>L114/P114</f>
        <v>3.4406565656565664E-6</v>
      </c>
      <c r="R114" s="8">
        <f t="shared" si="22"/>
        <v>6552</v>
      </c>
      <c r="S114" s="8">
        <v>2</v>
      </c>
      <c r="T114" s="8">
        <v>1.1100000000000001</v>
      </c>
      <c r="U114" s="17">
        <v>0.4</v>
      </c>
      <c r="V114" s="8">
        <f>R114*T114*(1+U114)*2.6</f>
        <v>26472.700799999999</v>
      </c>
      <c r="W114" s="15">
        <v>0.3</v>
      </c>
      <c r="X114" s="15">
        <v>0.1</v>
      </c>
      <c r="Y114" s="15">
        <v>0.1</v>
      </c>
      <c r="Z114" s="15"/>
      <c r="AA114" s="7">
        <f>Q114*V114*(1+W114+X114)*(1+Y114)*(1+Z114)</f>
        <v>0.14026854660000004</v>
      </c>
      <c r="AB114" s="7">
        <f t="shared" si="25"/>
        <v>0.14000000000000001</v>
      </c>
      <c r="AC114" s="109">
        <f t="shared" si="15"/>
        <v>94.416000000000011</v>
      </c>
      <c r="AD114" s="104">
        <f t="shared" si="26"/>
        <v>1.9908906882591098E-2</v>
      </c>
      <c r="AE114" s="104">
        <f>$AB114*AD$8</f>
        <v>7.8680000000000012</v>
      </c>
      <c r="AF114" s="145">
        <f t="shared" si="16"/>
        <v>89.88000000000001</v>
      </c>
      <c r="AG114" s="104">
        <f t="shared" si="27"/>
        <v>1.4274823708785973E-2</v>
      </c>
      <c r="AH114" s="104">
        <f>$AB114*AG$8</f>
        <v>7.4900000000000011</v>
      </c>
    </row>
    <row r="115" spans="1:34" s="6" customFormat="1" ht="12">
      <c r="A115" s="3" t="s">
        <v>225</v>
      </c>
      <c r="B115" s="2" t="s">
        <v>64</v>
      </c>
      <c r="C115" s="1" t="s">
        <v>59</v>
      </c>
      <c r="D115" s="1" t="s">
        <v>63</v>
      </c>
      <c r="E115" s="55">
        <v>1.37</v>
      </c>
      <c r="F115" s="8">
        <f>0.8*2.2*2</f>
        <v>3.5200000000000005</v>
      </c>
      <c r="G115" s="8">
        <f>E115*F115</f>
        <v>4.8224000000000009</v>
      </c>
      <c r="H115" s="8">
        <v>1</v>
      </c>
      <c r="I115" s="8">
        <v>1</v>
      </c>
      <c r="J115" s="10">
        <v>12</v>
      </c>
      <c r="K115" s="10">
        <f>H115*I115*J115</f>
        <v>12</v>
      </c>
      <c r="L115" s="19">
        <f>G115*K115/60</f>
        <v>0.96448000000000012</v>
      </c>
      <c r="M115" s="19"/>
      <c r="N115" s="19"/>
      <c r="O115" s="19"/>
      <c r="P115" s="19">
        <f t="shared" si="20"/>
        <v>1584</v>
      </c>
      <c r="Q115" s="18">
        <f>L115/P115</f>
        <v>6.0888888888888896E-4</v>
      </c>
      <c r="R115" s="8">
        <f t="shared" si="22"/>
        <v>6552</v>
      </c>
      <c r="S115" s="8">
        <v>2</v>
      </c>
      <c r="T115" s="8">
        <v>1.1100000000000001</v>
      </c>
      <c r="U115" s="17">
        <v>0.4</v>
      </c>
      <c r="V115" s="8">
        <f>R115*T115*(1+U115)*2.6</f>
        <v>26472.700799999999</v>
      </c>
      <c r="W115" s="15">
        <v>0.3</v>
      </c>
      <c r="X115" s="15">
        <v>0.1</v>
      </c>
      <c r="Y115" s="15">
        <v>0.1</v>
      </c>
      <c r="Z115" s="15"/>
      <c r="AA115" s="7">
        <f>Q115*V115*(1+W115+X115)*(1+Y115)*(1+Z115)</f>
        <v>24.823157399040007</v>
      </c>
      <c r="AB115" s="7">
        <f t="shared" si="25"/>
        <v>24.82</v>
      </c>
      <c r="AC115" s="109">
        <f t="shared" si="15"/>
        <v>1191.3600000000001</v>
      </c>
      <c r="AD115" s="104">
        <f t="shared" si="26"/>
        <v>0.25121457489878546</v>
      </c>
      <c r="AE115" s="104">
        <f>$AB115*AD$23</f>
        <v>99.28</v>
      </c>
      <c r="AF115" s="145">
        <f t="shared" si="16"/>
        <v>1191.3600000000001</v>
      </c>
      <c r="AG115" s="104">
        <f t="shared" si="27"/>
        <v>0.18921288355250618</v>
      </c>
      <c r="AH115" s="104">
        <f>$AB115*AG$23</f>
        <v>99.28</v>
      </c>
    </row>
    <row r="116" spans="1:34" s="6" customFormat="1" ht="12">
      <c r="A116" s="3" t="s">
        <v>226</v>
      </c>
      <c r="B116" s="2" t="s">
        <v>65</v>
      </c>
      <c r="C116" s="1" t="s">
        <v>10</v>
      </c>
      <c r="D116" s="1" t="s">
        <v>51</v>
      </c>
      <c r="E116" s="55">
        <v>2.9</v>
      </c>
      <c r="F116" s="9">
        <f>1.5/40</f>
        <v>3.7499999999999999E-2</v>
      </c>
      <c r="G116" s="8">
        <f>E116*F116</f>
        <v>0.10875</v>
      </c>
      <c r="H116" s="8">
        <v>2</v>
      </c>
      <c r="I116" s="8">
        <v>1</v>
      </c>
      <c r="J116" s="10">
        <v>1</v>
      </c>
      <c r="K116" s="10">
        <f>H116*I116*J116</f>
        <v>2</v>
      </c>
      <c r="L116" s="19">
        <f>G116*K116/60</f>
        <v>3.6250000000000002E-3</v>
      </c>
      <c r="M116" s="19"/>
      <c r="N116" s="19"/>
      <c r="O116" s="19"/>
      <c r="P116" s="19">
        <f t="shared" si="20"/>
        <v>1584</v>
      </c>
      <c r="Q116" s="18">
        <f>L116/P116</f>
        <v>2.2885101010101012E-6</v>
      </c>
      <c r="R116" s="8">
        <f t="shared" si="22"/>
        <v>6552</v>
      </c>
      <c r="S116" s="8">
        <v>2</v>
      </c>
      <c r="T116" s="8">
        <v>1.1100000000000001</v>
      </c>
      <c r="U116" s="17">
        <v>0.4</v>
      </c>
      <c r="V116" s="8">
        <f>R116*T116*(1+U116)*2.6</f>
        <v>26472.700799999999</v>
      </c>
      <c r="W116" s="15">
        <v>0.3</v>
      </c>
      <c r="X116" s="15">
        <v>0.1</v>
      </c>
      <c r="Y116" s="15">
        <v>0.1</v>
      </c>
      <c r="Z116" s="15"/>
      <c r="AA116" s="7">
        <f>Q116*V116*(1+W116+X116)*(1+Y116)*(1+Z116)</f>
        <v>9.329788650000001E-2</v>
      </c>
      <c r="AB116" s="7">
        <f t="shared" si="25"/>
        <v>0.09</v>
      </c>
      <c r="AC116" s="109">
        <f t="shared" si="15"/>
        <v>60.695999999999998</v>
      </c>
      <c r="AD116" s="104">
        <f t="shared" si="26"/>
        <v>1.2798582995951416E-2</v>
      </c>
      <c r="AE116" s="104">
        <f>$AB116*AD$8</f>
        <v>5.0579999999999998</v>
      </c>
      <c r="AF116" s="145">
        <f t="shared" si="16"/>
        <v>57.779999999999994</v>
      </c>
      <c r="AG116" s="104">
        <f t="shared" si="27"/>
        <v>9.1766723842195523E-3</v>
      </c>
      <c r="AH116" s="104">
        <f>$AB116*AG$8</f>
        <v>4.8149999999999995</v>
      </c>
    </row>
    <row r="117" spans="1:34" s="6" customFormat="1" ht="12">
      <c r="A117" s="13" t="s">
        <v>204</v>
      </c>
      <c r="B117" s="20" t="s">
        <v>30</v>
      </c>
      <c r="C117" s="54"/>
      <c r="D117" s="54"/>
      <c r="E117" s="54"/>
      <c r="F117" s="54"/>
      <c r="G117" s="8"/>
      <c r="H117" s="8"/>
      <c r="I117" s="8"/>
      <c r="J117" s="10"/>
      <c r="K117" s="8"/>
      <c r="L117" s="8"/>
      <c r="M117" s="8"/>
      <c r="N117" s="8"/>
      <c r="O117" s="9"/>
      <c r="P117" s="8"/>
      <c r="Q117" s="8"/>
      <c r="R117" s="8">
        <f t="shared" si="22"/>
        <v>6552</v>
      </c>
      <c r="S117" s="8"/>
      <c r="T117" s="8"/>
      <c r="U117" s="8"/>
      <c r="V117" s="8"/>
      <c r="W117" s="8"/>
      <c r="X117" s="8"/>
      <c r="Y117" s="8"/>
      <c r="Z117" s="8"/>
      <c r="AA117" s="12"/>
      <c r="AB117" s="7">
        <f t="shared" si="25"/>
        <v>0</v>
      </c>
      <c r="AC117" s="108">
        <f t="shared" si="15"/>
        <v>3412.5839999999998</v>
      </c>
      <c r="AD117" s="105">
        <f t="shared" ref="AD117:AH117" si="28">AD118</f>
        <v>0.71959008097166</v>
      </c>
      <c r="AE117" s="105">
        <f t="shared" si="28"/>
        <v>284.38200000000001</v>
      </c>
      <c r="AF117" s="108">
        <f t="shared" si="16"/>
        <v>4371.192</v>
      </c>
      <c r="AG117" s="105">
        <f t="shared" si="28"/>
        <v>0.69423670668953685</v>
      </c>
      <c r="AH117" s="105">
        <f t="shared" si="28"/>
        <v>364.26600000000002</v>
      </c>
    </row>
    <row r="118" spans="1:34" s="6" customFormat="1" ht="13.5" customHeight="1">
      <c r="A118" s="3" t="s">
        <v>66</v>
      </c>
      <c r="B118" s="2" t="s">
        <v>29</v>
      </c>
      <c r="C118" s="1" t="s">
        <v>197</v>
      </c>
      <c r="D118" s="1" t="s">
        <v>28</v>
      </c>
      <c r="E118" s="8"/>
      <c r="F118" s="8"/>
      <c r="G118" s="8"/>
      <c r="H118" s="8">
        <v>0.5</v>
      </c>
      <c r="I118" s="8">
        <v>1</v>
      </c>
      <c r="J118" s="10">
        <v>1</v>
      </c>
      <c r="K118" s="10">
        <f>H118*I118*J118</f>
        <v>0.5</v>
      </c>
      <c r="L118" s="8"/>
      <c r="M118" s="8"/>
      <c r="N118" s="8">
        <f>25.63*1.18</f>
        <v>30.243399999999998</v>
      </c>
      <c r="O118" s="9">
        <f>N118*K118/12</f>
        <v>1.2601416666666665</v>
      </c>
      <c r="P118" s="8"/>
      <c r="Q118" s="8"/>
      <c r="R118" s="8">
        <f t="shared" si="22"/>
        <v>6552</v>
      </c>
      <c r="S118" s="8"/>
      <c r="T118" s="8"/>
      <c r="U118" s="8"/>
      <c r="V118" s="8"/>
      <c r="W118" s="8"/>
      <c r="X118" s="8"/>
      <c r="Y118" s="8"/>
      <c r="Z118" s="15"/>
      <c r="AA118" s="7">
        <f>O118*(1+Z118)</f>
        <v>1.2601416666666665</v>
      </c>
      <c r="AB118" s="7">
        <f t="shared" si="25"/>
        <v>1.26</v>
      </c>
      <c r="AC118" s="109">
        <f t="shared" si="15"/>
        <v>3412.5839999999998</v>
      </c>
      <c r="AD118" s="104">
        <f>AE118/AD6</f>
        <v>0.71959008097166</v>
      </c>
      <c r="AE118" s="104">
        <f>$AB$118*(AD12+AD13)</f>
        <v>284.38200000000001</v>
      </c>
      <c r="AF118" s="145">
        <f t="shared" si="16"/>
        <v>4371.192</v>
      </c>
      <c r="AG118" s="104">
        <f>AH118/AG6</f>
        <v>0.69423670668953685</v>
      </c>
      <c r="AH118" s="104">
        <f>$AB$118*(AG12+AG13)</f>
        <v>364.26600000000002</v>
      </c>
    </row>
    <row r="119" spans="1:34" s="6" customFormat="1" ht="12">
      <c r="A119" s="13">
        <v>3</v>
      </c>
      <c r="B119" s="20" t="s">
        <v>50</v>
      </c>
      <c r="C119" s="54"/>
      <c r="D119" s="54"/>
      <c r="E119" s="1"/>
      <c r="F119" s="1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>
        <f t="shared" si="22"/>
        <v>6552</v>
      </c>
      <c r="S119" s="8"/>
      <c r="T119" s="8"/>
      <c r="U119" s="8"/>
      <c r="V119" s="8"/>
      <c r="W119" s="8"/>
      <c r="X119" s="8"/>
      <c r="Y119" s="8"/>
      <c r="Z119" s="8"/>
      <c r="AA119" s="12"/>
      <c r="AB119" s="7">
        <f t="shared" si="25"/>
        <v>0</v>
      </c>
      <c r="AC119" s="108">
        <f t="shared" si="15"/>
        <v>34834.171200000012</v>
      </c>
      <c r="AD119" s="105">
        <f>SUM(AD120:AD129)</f>
        <v>7.3452621457489879</v>
      </c>
      <c r="AE119" s="105">
        <f>SUM(AE120:AE129)</f>
        <v>2902.847600000001</v>
      </c>
      <c r="AF119" s="108">
        <f t="shared" si="16"/>
        <v>75457.2264</v>
      </c>
      <c r="AG119" s="105">
        <f>SUM(AG120:AG129)</f>
        <v>11.984185629883743</v>
      </c>
      <c r="AH119" s="105">
        <f>SUM(AH120:AH129)</f>
        <v>6288.1022000000003</v>
      </c>
    </row>
    <row r="120" spans="1:34" s="6" customFormat="1" ht="12" customHeight="1">
      <c r="A120" s="3" t="s">
        <v>227</v>
      </c>
      <c r="B120" s="2" t="s">
        <v>46</v>
      </c>
      <c r="C120" s="1" t="s">
        <v>41</v>
      </c>
      <c r="D120" s="11" t="s">
        <v>39</v>
      </c>
      <c r="E120" s="56">
        <v>0.153</v>
      </c>
      <c r="F120" s="8">
        <v>2</v>
      </c>
      <c r="G120" s="8">
        <f>E120*F120</f>
        <v>0.30599999999999999</v>
      </c>
      <c r="H120" s="8">
        <v>2</v>
      </c>
      <c r="I120" s="9">
        <f>52/12</f>
        <v>4.333333333333333</v>
      </c>
      <c r="J120" s="10">
        <v>12</v>
      </c>
      <c r="K120" s="10">
        <f>H120*I120*J120</f>
        <v>104</v>
      </c>
      <c r="L120" s="19">
        <f>G120*K120/60</f>
        <v>0.53039999999999998</v>
      </c>
      <c r="M120" s="19"/>
      <c r="N120" s="19"/>
      <c r="O120" s="19"/>
      <c r="P120" s="19">
        <f t="shared" ref="P120:P129" si="29">40*(52-8)</f>
        <v>1760</v>
      </c>
      <c r="Q120" s="18">
        <f>L120/P120</f>
        <v>3.0136363636363634E-4</v>
      </c>
      <c r="R120" s="8">
        <f t="shared" si="22"/>
        <v>6552</v>
      </c>
      <c r="S120" s="8">
        <v>1</v>
      </c>
      <c r="T120" s="8">
        <v>1</v>
      </c>
      <c r="U120" s="17">
        <v>0.5</v>
      </c>
      <c r="V120" s="8">
        <f>R120*T120*(1+U120)*2.6</f>
        <v>25552.799999999999</v>
      </c>
      <c r="W120" s="15">
        <v>0.3</v>
      </c>
      <c r="X120" s="15">
        <v>0.1</v>
      </c>
      <c r="Y120" s="15">
        <v>0.1</v>
      </c>
      <c r="Z120" s="15"/>
      <c r="AA120" s="7">
        <f>Q120*V120*(1+W120+X120)*(1+Y120)*(1+Z120)</f>
        <v>11.859054480000001</v>
      </c>
      <c r="AB120" s="7">
        <f>ROUND(AA120,2)</f>
        <v>11.86</v>
      </c>
      <c r="AC120" s="109">
        <f>AE120*12</f>
        <v>754.29599999999994</v>
      </c>
      <c r="AD120" s="104">
        <f>AE120/AD$6</f>
        <v>0.15905364372469635</v>
      </c>
      <c r="AE120" s="104">
        <f>$AB120*AD$15</f>
        <v>62.857999999999997</v>
      </c>
      <c r="AF120" s="145">
        <f>AH120*12</f>
        <v>8098.0079999999998</v>
      </c>
      <c r="AG120" s="104">
        <f>AH120/AG$6</f>
        <v>1.286133028397179</v>
      </c>
      <c r="AH120" s="104">
        <f>$AB120*AG$15</f>
        <v>674.83399999999995</v>
      </c>
    </row>
    <row r="121" spans="1:34" s="6" customFormat="1" ht="12" customHeight="1">
      <c r="A121" s="3" t="s">
        <v>228</v>
      </c>
      <c r="B121" s="2" t="s">
        <v>192</v>
      </c>
      <c r="C121" s="1" t="s">
        <v>41</v>
      </c>
      <c r="D121" s="11" t="s">
        <v>37</v>
      </c>
      <c r="E121" s="56">
        <v>0.08</v>
      </c>
      <c r="F121" s="8">
        <v>1</v>
      </c>
      <c r="G121" s="8">
        <f t="shared" ref="G121:G126" si="30">E121*F121</f>
        <v>0.08</v>
      </c>
      <c r="H121" s="8">
        <v>2</v>
      </c>
      <c r="I121" s="9">
        <f>52/12</f>
        <v>4.333333333333333</v>
      </c>
      <c r="J121" s="10">
        <v>5</v>
      </c>
      <c r="K121" s="10">
        <f t="shared" ref="K121:K126" si="31">H121*I121*J121</f>
        <v>43.333333333333329</v>
      </c>
      <c r="L121" s="19">
        <f t="shared" ref="L121:L126" si="32">G121*K121/60</f>
        <v>5.7777777777777775E-2</v>
      </c>
      <c r="M121" s="19"/>
      <c r="N121" s="19"/>
      <c r="O121" s="19"/>
      <c r="P121" s="19">
        <f t="shared" si="29"/>
        <v>1760</v>
      </c>
      <c r="Q121" s="18">
        <f t="shared" ref="Q121:Q126" si="33">L121/P121</f>
        <v>3.2828282828282826E-5</v>
      </c>
      <c r="R121" s="8">
        <f t="shared" si="22"/>
        <v>6552</v>
      </c>
      <c r="S121" s="8">
        <v>1</v>
      </c>
      <c r="T121" s="8">
        <v>1</v>
      </c>
      <c r="U121" s="17">
        <v>0.5</v>
      </c>
      <c r="V121" s="8">
        <f t="shared" ref="V121:V126" si="34">R121*T121*(1+U121)*2.6</f>
        <v>25552.799999999999</v>
      </c>
      <c r="W121" s="15">
        <v>0.3</v>
      </c>
      <c r="X121" s="15">
        <v>0.1</v>
      </c>
      <c r="Y121" s="15">
        <v>0.1</v>
      </c>
      <c r="Z121" s="15"/>
      <c r="AA121" s="7">
        <f t="shared" ref="AA121:AA126" si="35">Q121*V121*(1+W121+X121)*(1+Y121)*(1+Z121)</f>
        <v>1.2918360000000002</v>
      </c>
      <c r="AB121" s="7">
        <f t="shared" si="25"/>
        <v>1.29</v>
      </c>
      <c r="AC121" s="109">
        <f t="shared" si="15"/>
        <v>82.043999999999997</v>
      </c>
      <c r="AD121" s="104">
        <f t="shared" ref="AD121:AD126" si="36">AE121/AD$6</f>
        <v>1.7300101214574898E-2</v>
      </c>
      <c r="AE121" s="104">
        <f>$AB121*AD$15</f>
        <v>6.8369999999999997</v>
      </c>
      <c r="AF121" s="145">
        <f t="shared" ref="AF121:AF122" si="37">AH121*12</f>
        <v>880.8119999999999</v>
      </c>
      <c r="AG121" s="104">
        <f t="shared" ref="AG121:AG122" si="38">AH121/AG$6</f>
        <v>0.13989136649514006</v>
      </c>
      <c r="AH121" s="104">
        <f>$AB121*AG$15</f>
        <v>73.400999999999996</v>
      </c>
    </row>
    <row r="122" spans="1:34" s="6" customFormat="1" ht="12" customHeight="1">
      <c r="A122" s="3" t="s">
        <v>229</v>
      </c>
      <c r="B122" s="2" t="s">
        <v>193</v>
      </c>
      <c r="C122" s="1" t="s">
        <v>40</v>
      </c>
      <c r="D122" s="11" t="s">
        <v>37</v>
      </c>
      <c r="E122" s="55">
        <v>0.14000000000000001</v>
      </c>
      <c r="F122" s="8">
        <v>1</v>
      </c>
      <c r="G122" s="8">
        <f t="shared" si="30"/>
        <v>0.14000000000000001</v>
      </c>
      <c r="H122" s="8">
        <v>3.5</v>
      </c>
      <c r="I122" s="9">
        <f>52/12</f>
        <v>4.333333333333333</v>
      </c>
      <c r="J122" s="10">
        <v>7</v>
      </c>
      <c r="K122" s="10">
        <f t="shared" si="31"/>
        <v>106.16666666666666</v>
      </c>
      <c r="L122" s="19">
        <f t="shared" si="32"/>
        <v>0.24772222222222223</v>
      </c>
      <c r="M122" s="19"/>
      <c r="N122" s="19"/>
      <c r="O122" s="19"/>
      <c r="P122" s="19">
        <f t="shared" si="29"/>
        <v>1760</v>
      </c>
      <c r="Q122" s="18">
        <f t="shared" si="33"/>
        <v>1.4075126262626264E-4</v>
      </c>
      <c r="R122" s="8">
        <f t="shared" si="22"/>
        <v>6552</v>
      </c>
      <c r="S122" s="8">
        <v>1</v>
      </c>
      <c r="T122" s="8">
        <v>1</v>
      </c>
      <c r="U122" s="17">
        <v>0.5</v>
      </c>
      <c r="V122" s="8">
        <f t="shared" si="34"/>
        <v>25552.799999999999</v>
      </c>
      <c r="W122" s="15">
        <v>0.3</v>
      </c>
      <c r="X122" s="15">
        <v>0.1</v>
      </c>
      <c r="Y122" s="15">
        <v>0.1</v>
      </c>
      <c r="Z122" s="15"/>
      <c r="AA122" s="7">
        <f t="shared" si="35"/>
        <v>5.5387468500000017</v>
      </c>
      <c r="AB122" s="7">
        <f t="shared" si="25"/>
        <v>5.54</v>
      </c>
      <c r="AC122" s="109">
        <f t="shared" si="15"/>
        <v>352.34399999999999</v>
      </c>
      <c r="AD122" s="104">
        <f t="shared" si="36"/>
        <v>7.4296558704453439E-2</v>
      </c>
      <c r="AE122" s="104">
        <f>$AB122*AD$15</f>
        <v>29.361999999999998</v>
      </c>
      <c r="AF122" s="145">
        <f t="shared" si="37"/>
        <v>3782.712</v>
      </c>
      <c r="AG122" s="104">
        <f t="shared" si="38"/>
        <v>0.60077377549075661</v>
      </c>
      <c r="AH122" s="104">
        <f>$AB122*AG$15</f>
        <v>315.226</v>
      </c>
    </row>
    <row r="123" spans="1:34" s="6" customFormat="1" ht="22.5">
      <c r="A123" s="3" t="s">
        <v>230</v>
      </c>
      <c r="B123" s="2" t="s">
        <v>38</v>
      </c>
      <c r="C123" s="1" t="s">
        <v>136</v>
      </c>
      <c r="D123" s="11" t="s">
        <v>37</v>
      </c>
      <c r="E123" s="55">
        <v>0.61</v>
      </c>
      <c r="F123" s="8">
        <v>1</v>
      </c>
      <c r="G123" s="8">
        <f>E123*F123</f>
        <v>0.61</v>
      </c>
      <c r="H123" s="8">
        <v>1.5</v>
      </c>
      <c r="I123" s="9">
        <f>52/12</f>
        <v>4.333333333333333</v>
      </c>
      <c r="J123" s="10">
        <v>7</v>
      </c>
      <c r="K123" s="10">
        <f>H123*I123*J123</f>
        <v>45.5</v>
      </c>
      <c r="L123" s="19">
        <f>G123*K123/60</f>
        <v>0.46258333333333329</v>
      </c>
      <c r="M123" s="19"/>
      <c r="N123" s="19"/>
      <c r="O123" s="19"/>
      <c r="P123" s="19">
        <f t="shared" si="29"/>
        <v>1760</v>
      </c>
      <c r="Q123" s="18">
        <f>L123/P123</f>
        <v>2.6283143939393936E-4</v>
      </c>
      <c r="R123" s="8">
        <f t="shared" si="22"/>
        <v>6552</v>
      </c>
      <c r="S123" s="8">
        <v>1</v>
      </c>
      <c r="T123" s="8">
        <v>1</v>
      </c>
      <c r="U123" s="17">
        <v>0.5</v>
      </c>
      <c r="V123" s="8">
        <f>R123*T123*(1+U123)*2.6</f>
        <v>25552.799999999999</v>
      </c>
      <c r="W123" s="15">
        <v>0.3</v>
      </c>
      <c r="X123" s="15">
        <v>0.1</v>
      </c>
      <c r="Y123" s="15">
        <v>0.1</v>
      </c>
      <c r="Z123" s="15"/>
      <c r="AA123" s="7">
        <f>Q123*V123*(1+W123+X123)*(1+Y123)*(1+Z123)</f>
        <v>10.342761975</v>
      </c>
      <c r="AB123" s="7">
        <f>ROUND(AA123,2)</f>
        <v>10.34</v>
      </c>
      <c r="AC123" s="109">
        <f>AE123*12</f>
        <v>657.62400000000002</v>
      </c>
      <c r="AD123" s="104">
        <f>AE123/AD$6</f>
        <v>0.13866902834008096</v>
      </c>
      <c r="AE123" s="104">
        <f>$AB123*AD$15</f>
        <v>54.802</v>
      </c>
      <c r="AF123" s="145">
        <f>AH123*12</f>
        <v>7060.152</v>
      </c>
      <c r="AG123" s="104">
        <f>AH123/AG$6</f>
        <v>1.1212997903563939</v>
      </c>
      <c r="AH123" s="104">
        <f>$AB123*AG$15</f>
        <v>588.346</v>
      </c>
    </row>
    <row r="124" spans="1:34" s="6" customFormat="1" ht="24">
      <c r="A124" s="3" t="s">
        <v>231</v>
      </c>
      <c r="B124" s="2" t="s">
        <v>195</v>
      </c>
      <c r="C124" s="1" t="s">
        <v>36</v>
      </c>
      <c r="D124" s="11" t="s">
        <v>35</v>
      </c>
      <c r="E124" s="8">
        <f>1/M124*60</f>
        <v>0.3</v>
      </c>
      <c r="F124" s="8">
        <v>1</v>
      </c>
      <c r="G124" s="8">
        <f>E124*F124</f>
        <v>0.3</v>
      </c>
      <c r="H124" s="8">
        <v>6</v>
      </c>
      <c r="I124" s="8">
        <v>1</v>
      </c>
      <c r="J124" s="10">
        <v>1</v>
      </c>
      <c r="K124" s="10">
        <f>H124*I124*J124</f>
        <v>6</v>
      </c>
      <c r="L124" s="9">
        <f>G124*K124/60</f>
        <v>2.9999999999999995E-2</v>
      </c>
      <c r="M124" s="8">
        <v>200</v>
      </c>
      <c r="N124" s="8">
        <f>1800+1850</f>
        <v>3650</v>
      </c>
      <c r="O124" s="9">
        <f>L124*N124/12</f>
        <v>9.1249999999999982</v>
      </c>
      <c r="P124" s="8"/>
      <c r="Q124" s="8"/>
      <c r="R124" s="8">
        <f t="shared" si="22"/>
        <v>6552</v>
      </c>
      <c r="S124" s="8"/>
      <c r="T124" s="8"/>
      <c r="U124" s="8"/>
      <c r="V124" s="8"/>
      <c r="W124" s="8"/>
      <c r="X124" s="8"/>
      <c r="Y124" s="8"/>
      <c r="Z124" s="15"/>
      <c r="AA124" s="7">
        <f>O124*(1+Z124)</f>
        <v>9.1249999999999982</v>
      </c>
      <c r="AB124" s="7">
        <f>ROUND(AA124,2)</f>
        <v>9.1300000000000008</v>
      </c>
      <c r="AC124" s="109">
        <f>AE124*12</f>
        <v>24129.494400000003</v>
      </c>
      <c r="AD124" s="104">
        <f>AE124/AD$6</f>
        <v>5.0880344129554667</v>
      </c>
      <c r="AE124" s="104">
        <f>$AB124*AD$16</f>
        <v>2010.7912000000003</v>
      </c>
      <c r="AF124" s="145">
        <f>AH124*12</f>
        <v>31654.075200000003</v>
      </c>
      <c r="AG124" s="104">
        <f>AH124/AG$6</f>
        <v>5.0273291404612159</v>
      </c>
      <c r="AH124" s="104">
        <f>$AB124*AG$16</f>
        <v>2637.8396000000002</v>
      </c>
    </row>
    <row r="125" spans="1:34" s="6" customFormat="1" ht="24">
      <c r="A125" s="3" t="s">
        <v>232</v>
      </c>
      <c r="B125" s="2" t="s">
        <v>196</v>
      </c>
      <c r="C125" s="1" t="s">
        <v>136</v>
      </c>
      <c r="D125" s="11" t="s">
        <v>39</v>
      </c>
      <c r="E125" s="55">
        <f>4.25</f>
        <v>4.25</v>
      </c>
      <c r="F125" s="8">
        <v>2</v>
      </c>
      <c r="G125" s="8">
        <f t="shared" si="30"/>
        <v>8.5</v>
      </c>
      <c r="H125" s="8">
        <v>1</v>
      </c>
      <c r="I125" s="9">
        <v>1</v>
      </c>
      <c r="J125" s="10">
        <v>7</v>
      </c>
      <c r="K125" s="10">
        <f t="shared" si="31"/>
        <v>7</v>
      </c>
      <c r="L125" s="19">
        <f t="shared" si="32"/>
        <v>0.9916666666666667</v>
      </c>
      <c r="M125" s="19"/>
      <c r="N125" s="19"/>
      <c r="O125" s="19"/>
      <c r="P125" s="19">
        <f t="shared" si="29"/>
        <v>1760</v>
      </c>
      <c r="Q125" s="18">
        <f t="shared" si="33"/>
        <v>5.6344696969696975E-4</v>
      </c>
      <c r="R125" s="8">
        <f t="shared" si="22"/>
        <v>6552</v>
      </c>
      <c r="S125" s="8">
        <v>1</v>
      </c>
      <c r="T125" s="8">
        <v>1</v>
      </c>
      <c r="U125" s="17">
        <v>0.5</v>
      </c>
      <c r="V125" s="8">
        <f t="shared" si="34"/>
        <v>25552.799999999999</v>
      </c>
      <c r="W125" s="15">
        <v>0.3</v>
      </c>
      <c r="X125" s="15">
        <v>0.1</v>
      </c>
      <c r="Y125" s="15">
        <v>0.1</v>
      </c>
      <c r="Z125" s="15"/>
      <c r="AA125" s="7">
        <f t="shared" si="35"/>
        <v>22.172377500000003</v>
      </c>
      <c r="AB125" s="7">
        <f t="shared" si="25"/>
        <v>22.17</v>
      </c>
      <c r="AC125" s="109">
        <f t="shared" si="15"/>
        <v>1410.0120000000002</v>
      </c>
      <c r="AD125" s="104">
        <f t="shared" si="36"/>
        <v>0.29732034412955466</v>
      </c>
      <c r="AE125" s="104">
        <f>$AB125*AD$15</f>
        <v>117.501</v>
      </c>
      <c r="AF125" s="145">
        <f t="shared" ref="AF125:AF126" si="39">AH125*12</f>
        <v>15137.675999999999</v>
      </c>
      <c r="AG125" s="104">
        <f t="shared" ref="AG125:AG126" si="40">AH125/AG$6</f>
        <v>2.4041795311606631</v>
      </c>
      <c r="AH125" s="104">
        <f>$AB125*AG$15</f>
        <v>1261.473</v>
      </c>
    </row>
    <row r="126" spans="1:34" s="6" customFormat="1" ht="22.5">
      <c r="A126" s="3" t="s">
        <v>233</v>
      </c>
      <c r="B126" s="2" t="s">
        <v>194</v>
      </c>
      <c r="C126" s="1" t="s">
        <v>136</v>
      </c>
      <c r="D126" s="11" t="s">
        <v>37</v>
      </c>
      <c r="E126" s="55">
        <v>0.13</v>
      </c>
      <c r="F126" s="8">
        <v>1</v>
      </c>
      <c r="G126" s="8">
        <f t="shared" si="30"/>
        <v>0.13</v>
      </c>
      <c r="H126" s="8">
        <v>1.5</v>
      </c>
      <c r="I126" s="9">
        <v>1</v>
      </c>
      <c r="J126" s="10">
        <v>7</v>
      </c>
      <c r="K126" s="10">
        <f t="shared" si="31"/>
        <v>10.5</v>
      </c>
      <c r="L126" s="19">
        <f t="shared" si="32"/>
        <v>2.2749999999999999E-2</v>
      </c>
      <c r="M126" s="19"/>
      <c r="N126" s="19"/>
      <c r="O126" s="19"/>
      <c r="P126" s="19">
        <f t="shared" si="29"/>
        <v>1760</v>
      </c>
      <c r="Q126" s="18">
        <f t="shared" si="33"/>
        <v>1.2926136363636364E-5</v>
      </c>
      <c r="R126" s="8">
        <f t="shared" si="22"/>
        <v>6552</v>
      </c>
      <c r="S126" s="8">
        <v>1</v>
      </c>
      <c r="T126" s="8">
        <v>1</v>
      </c>
      <c r="U126" s="17">
        <v>0.5</v>
      </c>
      <c r="V126" s="8">
        <f t="shared" si="34"/>
        <v>25552.799999999999</v>
      </c>
      <c r="W126" s="15">
        <v>0.3</v>
      </c>
      <c r="X126" s="15">
        <v>5.88</v>
      </c>
      <c r="Y126" s="15">
        <v>0.1</v>
      </c>
      <c r="Z126" s="15"/>
      <c r="AA126" s="7">
        <f t="shared" si="35"/>
        <v>2.6087013225</v>
      </c>
      <c r="AB126" s="7">
        <f t="shared" si="25"/>
        <v>2.61</v>
      </c>
      <c r="AC126" s="109">
        <f t="shared" si="15"/>
        <v>165.99599999999998</v>
      </c>
      <c r="AD126" s="104">
        <f t="shared" si="36"/>
        <v>3.5002530364372467E-2</v>
      </c>
      <c r="AE126" s="104">
        <f>$AB126*AD$15</f>
        <v>13.832999999999998</v>
      </c>
      <c r="AF126" s="145">
        <f t="shared" si="39"/>
        <v>1782.1079999999997</v>
      </c>
      <c r="AG126" s="104">
        <f t="shared" si="40"/>
        <v>0.28303602058319033</v>
      </c>
      <c r="AH126" s="104">
        <f>$AB126*AG$15</f>
        <v>148.50899999999999</v>
      </c>
    </row>
    <row r="127" spans="1:34" s="6" customFormat="1" ht="12" customHeight="1">
      <c r="A127" s="3" t="s">
        <v>234</v>
      </c>
      <c r="B127" s="2" t="s">
        <v>45</v>
      </c>
      <c r="C127" s="1" t="s">
        <v>44</v>
      </c>
      <c r="D127" s="11" t="s">
        <v>42</v>
      </c>
      <c r="E127" s="56">
        <v>4.88</v>
      </c>
      <c r="F127" s="57">
        <v>1</v>
      </c>
      <c r="G127" s="8">
        <f>E127*F127</f>
        <v>4.88</v>
      </c>
      <c r="H127" s="8">
        <v>5</v>
      </c>
      <c r="I127" s="9">
        <f>52/12</f>
        <v>4.333333333333333</v>
      </c>
      <c r="J127" s="10">
        <v>12</v>
      </c>
      <c r="K127" s="10">
        <f>H127*I127*J127</f>
        <v>260</v>
      </c>
      <c r="L127" s="19">
        <f>G127*K127/60</f>
        <v>21.146666666666665</v>
      </c>
      <c r="M127" s="19"/>
      <c r="N127" s="19"/>
      <c r="O127" s="19"/>
      <c r="P127" s="19">
        <f t="shared" si="29"/>
        <v>1760</v>
      </c>
      <c r="Q127" s="18">
        <f>L127/P127</f>
        <v>1.2015151515151513E-2</v>
      </c>
      <c r="R127" s="8">
        <f t="shared" si="22"/>
        <v>6552</v>
      </c>
      <c r="S127" s="8">
        <v>1</v>
      </c>
      <c r="T127" s="8">
        <v>1</v>
      </c>
      <c r="U127" s="17">
        <v>0.5</v>
      </c>
      <c r="V127" s="8">
        <f>R127*T127*(1+U127)*2.6</f>
        <v>25552.799999999999</v>
      </c>
      <c r="W127" s="15">
        <v>0.3</v>
      </c>
      <c r="X127" s="15">
        <v>0.1</v>
      </c>
      <c r="Y127" s="15">
        <v>0.1</v>
      </c>
      <c r="Z127" s="15"/>
      <c r="AA127" s="7">
        <f>Q127*V127*(1+W127+X127)*(1+Y127)*(1+Z127)</f>
        <v>472.81197600000002</v>
      </c>
      <c r="AB127" s="7">
        <f>ROUND(AA127,2)</f>
        <v>472.81</v>
      </c>
      <c r="AC127" s="109">
        <f>AE127*12</f>
        <v>0</v>
      </c>
      <c r="AD127" s="104">
        <f>AE127/AD$6</f>
        <v>0</v>
      </c>
      <c r="AE127" s="104">
        <f>$AB127*AD$24</f>
        <v>0</v>
      </c>
      <c r="AF127" s="145">
        <f>AH127*12</f>
        <v>0</v>
      </c>
      <c r="AG127" s="104">
        <f>AH127/AG$6</f>
        <v>0</v>
      </c>
      <c r="AH127" s="104">
        <f>$AB127*AG$24</f>
        <v>0</v>
      </c>
    </row>
    <row r="128" spans="1:34" s="6" customFormat="1" ht="22.5">
      <c r="A128" s="3" t="s">
        <v>235</v>
      </c>
      <c r="B128" s="2" t="s">
        <v>43</v>
      </c>
      <c r="C128" s="1" t="s">
        <v>198</v>
      </c>
      <c r="D128" s="11" t="s">
        <v>42</v>
      </c>
      <c r="E128" s="56">
        <v>6.75</v>
      </c>
      <c r="F128" s="57">
        <v>1</v>
      </c>
      <c r="G128" s="8">
        <f>E128*F128</f>
        <v>6.75</v>
      </c>
      <c r="H128" s="8">
        <v>2</v>
      </c>
      <c r="I128" s="10">
        <v>1</v>
      </c>
      <c r="J128" s="10">
        <v>5</v>
      </c>
      <c r="K128" s="10">
        <f>H128*I128*J128</f>
        <v>10</v>
      </c>
      <c r="L128" s="19">
        <f>G128*K128/60</f>
        <v>1.125</v>
      </c>
      <c r="M128" s="19"/>
      <c r="N128" s="19"/>
      <c r="O128" s="19"/>
      <c r="P128" s="19">
        <f t="shared" si="29"/>
        <v>1760</v>
      </c>
      <c r="Q128" s="18">
        <f>L128/P128</f>
        <v>6.3920454545454545E-4</v>
      </c>
      <c r="R128" s="8">
        <f t="shared" si="22"/>
        <v>6552</v>
      </c>
      <c r="S128" s="8">
        <v>1</v>
      </c>
      <c r="T128" s="8">
        <v>1</v>
      </c>
      <c r="U128" s="17">
        <v>0.5</v>
      </c>
      <c r="V128" s="8">
        <f>R128*T128*(1+U128)*2.6</f>
        <v>25552.799999999999</v>
      </c>
      <c r="W128" s="15">
        <v>0.3</v>
      </c>
      <c r="X128" s="15">
        <v>0.1</v>
      </c>
      <c r="Y128" s="15">
        <v>0.1</v>
      </c>
      <c r="Z128" s="15"/>
      <c r="AA128" s="7">
        <f>Q128*V128*(1+W128+X128)*(1+Y128)*(1+Z128)</f>
        <v>25.153537500000002</v>
      </c>
      <c r="AB128" s="7">
        <f>ROUND(AA128,2)</f>
        <v>25.15</v>
      </c>
      <c r="AC128" s="109">
        <f>AE128*12</f>
        <v>0</v>
      </c>
      <c r="AD128" s="104">
        <f>AE128/AD$6</f>
        <v>0</v>
      </c>
      <c r="AE128" s="104">
        <f>$AB128*AD$24</f>
        <v>0</v>
      </c>
      <c r="AF128" s="145">
        <f>AH128*12</f>
        <v>0</v>
      </c>
      <c r="AG128" s="104">
        <f>AH128/AG$6</f>
        <v>0</v>
      </c>
      <c r="AH128" s="104">
        <f>$AB128*AG$24</f>
        <v>0</v>
      </c>
    </row>
    <row r="129" spans="1:34" s="6" customFormat="1" ht="12" customHeight="1">
      <c r="A129" s="3" t="s">
        <v>236</v>
      </c>
      <c r="B129" s="2" t="s">
        <v>49</v>
      </c>
      <c r="C129" s="1" t="s">
        <v>44</v>
      </c>
      <c r="D129" s="11" t="s">
        <v>47</v>
      </c>
      <c r="E129" s="55">
        <v>1.46</v>
      </c>
      <c r="F129" s="8">
        <v>1</v>
      </c>
      <c r="G129" s="8">
        <f>E129*F129</f>
        <v>1.46</v>
      </c>
      <c r="H129" s="8">
        <v>5</v>
      </c>
      <c r="I129" s="9">
        <f>52/12</f>
        <v>4.333333333333333</v>
      </c>
      <c r="J129" s="10">
        <v>12</v>
      </c>
      <c r="K129" s="10">
        <f>H129*I129*J129</f>
        <v>260</v>
      </c>
      <c r="L129" s="19">
        <f>G129*K129/60</f>
        <v>6.3266666666666662</v>
      </c>
      <c r="M129" s="19"/>
      <c r="N129" s="19"/>
      <c r="O129" s="19"/>
      <c r="P129" s="19">
        <f t="shared" si="29"/>
        <v>1760</v>
      </c>
      <c r="Q129" s="18">
        <f>L129/P129</f>
        <v>3.5946969696969695E-3</v>
      </c>
      <c r="R129" s="8">
        <f t="shared" si="22"/>
        <v>6552</v>
      </c>
      <c r="S129" s="8">
        <v>1</v>
      </c>
      <c r="T129" s="8">
        <v>1</v>
      </c>
      <c r="U129" s="17">
        <v>0.5</v>
      </c>
      <c r="V129" s="8">
        <f>R129*T129*(1+U129)*2.6</f>
        <v>25552.799999999999</v>
      </c>
      <c r="W129" s="15">
        <v>0.3</v>
      </c>
      <c r="X129" s="15">
        <v>0.1</v>
      </c>
      <c r="Y129" s="15">
        <v>0.1</v>
      </c>
      <c r="Z129" s="15"/>
      <c r="AA129" s="7">
        <f>Q129*V129*(1+W129+X129)*(1+Y129)*(1+Z129)</f>
        <v>141.45604200000002</v>
      </c>
      <c r="AB129" s="7">
        <f>ROUND(AA129,2)</f>
        <v>141.46</v>
      </c>
      <c r="AC129" s="109">
        <f>AE129*12</f>
        <v>7282.3608000000004</v>
      </c>
      <c r="AD129" s="104">
        <f>AE129/AD$6</f>
        <v>1.5355855263157896</v>
      </c>
      <c r="AE129" s="104">
        <f>$AB129*AD$17</f>
        <v>606.86340000000007</v>
      </c>
      <c r="AF129" s="145">
        <f>AH129*12</f>
        <v>7061.6832000000004</v>
      </c>
      <c r="AG129" s="104">
        <f>AH129/AG$6</f>
        <v>1.1215429769392034</v>
      </c>
      <c r="AH129" s="104">
        <f>$AB129*AG$17</f>
        <v>588.47360000000003</v>
      </c>
    </row>
    <row r="130" spans="1:34" s="6" customFormat="1" ht="12">
      <c r="A130" s="13" t="s">
        <v>34</v>
      </c>
      <c r="B130" s="20" t="s">
        <v>259</v>
      </c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7">
        <f t="shared" si="25"/>
        <v>0</v>
      </c>
      <c r="AC130" s="108">
        <f t="shared" si="15"/>
        <v>84214.080000000002</v>
      </c>
      <c r="AD130" s="105">
        <f t="shared" ref="AD130:AH130" si="41">AD131</f>
        <v>17.757692307692309</v>
      </c>
      <c r="AE130" s="105">
        <f t="shared" si="41"/>
        <v>7017.84</v>
      </c>
      <c r="AF130" s="108">
        <f t="shared" ref="AF130:AF139" si="42">AH130*12</f>
        <v>63160.56</v>
      </c>
      <c r="AG130" s="105">
        <f t="shared" si="41"/>
        <v>10.031217838765007</v>
      </c>
      <c r="AH130" s="105">
        <f t="shared" si="41"/>
        <v>5263.38</v>
      </c>
    </row>
    <row r="131" spans="1:34" s="6" customFormat="1" ht="24">
      <c r="A131" s="5" t="s">
        <v>33</v>
      </c>
      <c r="B131" s="2" t="s">
        <v>32</v>
      </c>
      <c r="C131" s="1" t="s">
        <v>136</v>
      </c>
      <c r="D131" s="11" t="s">
        <v>31</v>
      </c>
      <c r="E131" s="8">
        <f>1/M131*60</f>
        <v>6</v>
      </c>
      <c r="F131" s="8">
        <v>1</v>
      </c>
      <c r="G131" s="8">
        <f>E131*F131</f>
        <v>6</v>
      </c>
      <c r="H131" s="8">
        <v>2.66</v>
      </c>
      <c r="I131" s="8">
        <v>1</v>
      </c>
      <c r="J131" s="10">
        <v>1</v>
      </c>
      <c r="K131" s="148">
        <v>2.69</v>
      </c>
      <c r="L131" s="9">
        <f>G131*K131/60</f>
        <v>0.26900000000000002</v>
      </c>
      <c r="M131" s="8">
        <v>10</v>
      </c>
      <c r="N131" s="149">
        <f>(535.18+78.95)*1.18</f>
        <v>724.6733999999999</v>
      </c>
      <c r="O131" s="9">
        <f>L131*N131</f>
        <v>194.93714459999998</v>
      </c>
      <c r="P131" s="8"/>
      <c r="Q131" s="8"/>
      <c r="R131" s="8">
        <f>R$139</f>
        <v>6552</v>
      </c>
      <c r="S131" s="8"/>
      <c r="T131" s="8"/>
      <c r="U131" s="8"/>
      <c r="V131" s="8"/>
      <c r="W131" s="8"/>
      <c r="X131" s="8"/>
      <c r="Y131" s="8"/>
      <c r="Z131" s="15"/>
      <c r="AA131" s="7">
        <f>O131*(1+Z131)</f>
        <v>194.93714459999998</v>
      </c>
      <c r="AB131" s="7">
        <f t="shared" si="25"/>
        <v>194.94</v>
      </c>
      <c r="AC131" s="109">
        <f t="shared" si="15"/>
        <v>84214.080000000002</v>
      </c>
      <c r="AD131" s="104">
        <f>AE131/AD$6</f>
        <v>17.757692307692309</v>
      </c>
      <c r="AE131" s="104">
        <f>$AB131*AD$27</f>
        <v>7017.84</v>
      </c>
      <c r="AF131" s="145">
        <f t="shared" si="42"/>
        <v>63160.56</v>
      </c>
      <c r="AG131" s="104">
        <f>AH131/AG$6</f>
        <v>10.031217838765007</v>
      </c>
      <c r="AH131" s="104">
        <f>$AB131*AG$27</f>
        <v>5263.38</v>
      </c>
    </row>
    <row r="132" spans="1:34" s="138" customFormat="1" ht="52.5" customHeight="1">
      <c r="A132" s="5" t="s">
        <v>243</v>
      </c>
      <c r="B132" s="2" t="s">
        <v>258</v>
      </c>
      <c r="C132" s="1" t="s">
        <v>136</v>
      </c>
      <c r="D132" s="146" t="s">
        <v>199</v>
      </c>
      <c r="E132" s="56"/>
      <c r="F132" s="56"/>
      <c r="G132" s="56"/>
      <c r="H132" s="56">
        <v>1</v>
      </c>
      <c r="I132" s="134">
        <v>1</v>
      </c>
      <c r="J132" s="135">
        <v>12</v>
      </c>
      <c r="K132" s="135">
        <f>H132*I132*J132</f>
        <v>12</v>
      </c>
      <c r="L132" s="136">
        <f>1/12</f>
        <v>8.3333333333333329E-2</v>
      </c>
      <c r="M132" s="56"/>
      <c r="N132" s="136">
        <f>(((31+41)/2)*1.18+100)</f>
        <v>142.47999999999999</v>
      </c>
      <c r="O132" s="136">
        <f>L132*N132</f>
        <v>11.873333333333331</v>
      </c>
      <c r="P132" s="56"/>
      <c r="Q132" s="56"/>
      <c r="R132" s="56">
        <v>6552</v>
      </c>
      <c r="S132" s="56"/>
      <c r="T132" s="56"/>
      <c r="U132" s="56"/>
      <c r="V132" s="56"/>
      <c r="W132" s="56"/>
      <c r="X132" s="56"/>
      <c r="Y132" s="56"/>
      <c r="Z132" s="137"/>
      <c r="AA132" s="12">
        <f>O132*(1+Z132)</f>
        <v>11.873333333333331</v>
      </c>
      <c r="AB132" s="12">
        <f t="shared" si="25"/>
        <v>11.87</v>
      </c>
      <c r="AC132" s="108">
        <f t="shared" si="15"/>
        <v>1566.84</v>
      </c>
      <c r="AD132" s="105">
        <f>AE132/AD$6</f>
        <v>0.33038967611336034</v>
      </c>
      <c r="AE132" s="105">
        <f>$AB132*AD$26</f>
        <v>130.57</v>
      </c>
      <c r="AF132" s="108">
        <f t="shared" si="42"/>
        <v>1709.28</v>
      </c>
      <c r="AG132" s="105">
        <f>AH132/AG$6</f>
        <v>0.27146941109205258</v>
      </c>
      <c r="AH132" s="105">
        <f>$AB132*AG$26</f>
        <v>142.44</v>
      </c>
    </row>
    <row r="133" spans="1:34" s="6" customFormat="1" ht="48">
      <c r="A133" s="13" t="s">
        <v>260</v>
      </c>
      <c r="B133" s="58" t="s">
        <v>261</v>
      </c>
      <c r="C133" s="128"/>
      <c r="D133" s="59"/>
      <c r="E133" s="59"/>
      <c r="F133" s="59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>
        <f t="shared" ref="R133:R138" si="43">R$139</f>
        <v>6552</v>
      </c>
      <c r="S133" s="8"/>
      <c r="T133" s="8"/>
      <c r="U133" s="8"/>
      <c r="V133" s="8"/>
      <c r="W133" s="8"/>
      <c r="X133" s="8"/>
      <c r="Y133" s="8"/>
      <c r="Z133" s="8"/>
      <c r="AA133" s="112"/>
      <c r="AB133" s="7">
        <f t="shared" ref="AB133:AB139" si="44">ROUND(AA133,2)</f>
        <v>0</v>
      </c>
      <c r="AC133" s="108">
        <f t="shared" ref="AC133:AC139" si="45">AE133*12</f>
        <v>1517.568</v>
      </c>
      <c r="AD133" s="111">
        <f t="shared" ref="AD133:AE133" si="46">SUM(AD134:AD138)</f>
        <v>0.32</v>
      </c>
      <c r="AE133" s="111">
        <f t="shared" si="46"/>
        <v>126.464</v>
      </c>
      <c r="AF133" s="108">
        <f t="shared" si="42"/>
        <v>4029.6960000000008</v>
      </c>
      <c r="AG133" s="111">
        <f t="shared" ref="AG133:AH133" si="47">SUM(AG134:AG138)</f>
        <v>0.64</v>
      </c>
      <c r="AH133" s="111">
        <f t="shared" si="47"/>
        <v>335.80800000000005</v>
      </c>
    </row>
    <row r="134" spans="1:34" s="6" customFormat="1" ht="12">
      <c r="A134" s="3" t="s">
        <v>216</v>
      </c>
      <c r="B134" s="14" t="s">
        <v>26</v>
      </c>
      <c r="C134" s="1" t="s">
        <v>200</v>
      </c>
      <c r="D134" s="11" t="s">
        <v>0</v>
      </c>
      <c r="E134" s="8"/>
      <c r="F134" s="8"/>
      <c r="G134" s="8"/>
      <c r="H134" s="8"/>
      <c r="I134" s="8"/>
      <c r="J134" s="8"/>
      <c r="K134" s="8"/>
      <c r="L134" s="8"/>
      <c r="M134" s="60">
        <v>500000</v>
      </c>
      <c r="N134" s="8"/>
      <c r="O134" s="8"/>
      <c r="P134" s="8"/>
      <c r="Q134" s="18">
        <f>1/M134</f>
        <v>1.9999999999999999E-6</v>
      </c>
      <c r="R134" s="8">
        <f t="shared" si="43"/>
        <v>6552</v>
      </c>
      <c r="S134" s="8">
        <v>7</v>
      </c>
      <c r="T134" s="8">
        <v>1.84</v>
      </c>
      <c r="U134" s="15">
        <v>0.7</v>
      </c>
      <c r="V134" s="8">
        <f t="shared" ref="V134:V139" si="48">R134*T134*(1+U134)*2.6</f>
        <v>53286.105600000003</v>
      </c>
      <c r="W134" s="15">
        <v>0.3</v>
      </c>
      <c r="X134" s="15">
        <v>0.1</v>
      </c>
      <c r="Y134" s="15">
        <v>0.1</v>
      </c>
      <c r="Z134" s="15"/>
      <c r="AA134" s="7">
        <f t="shared" ref="AA134:AA139" si="49">Q134*V134*(1+W134+X134)*(1+Y134)*(1+Z134)</f>
        <v>0.16412120524800003</v>
      </c>
      <c r="AB134" s="7">
        <f t="shared" si="44"/>
        <v>0.16</v>
      </c>
      <c r="AC134" s="109">
        <f t="shared" si="45"/>
        <v>758.78399999999999</v>
      </c>
      <c r="AD134" s="104">
        <f>IF(AE30=1,$AB134,0)</f>
        <v>0.16</v>
      </c>
      <c r="AE134" s="104">
        <f>AD134*AD$6</f>
        <v>63.231999999999999</v>
      </c>
      <c r="AF134" s="145">
        <f t="shared" si="42"/>
        <v>1007.4240000000002</v>
      </c>
      <c r="AG134" s="104">
        <f>IF(AH30=1,$AB134,0)</f>
        <v>0.16</v>
      </c>
      <c r="AH134" s="104">
        <f>AG134*AG$6</f>
        <v>83.952000000000012</v>
      </c>
    </row>
    <row r="135" spans="1:34" s="6" customFormat="1" ht="12">
      <c r="A135" s="3" t="s">
        <v>217</v>
      </c>
      <c r="B135" s="14" t="s">
        <v>25</v>
      </c>
      <c r="C135" s="1" t="s">
        <v>200</v>
      </c>
      <c r="D135" s="11" t="s">
        <v>0</v>
      </c>
      <c r="E135" s="8"/>
      <c r="F135" s="8"/>
      <c r="G135" s="8"/>
      <c r="H135" s="8"/>
      <c r="I135" s="8"/>
      <c r="J135" s="8"/>
      <c r="K135" s="8"/>
      <c r="L135" s="8"/>
      <c r="M135" s="60">
        <v>500000</v>
      </c>
      <c r="N135" s="8"/>
      <c r="O135" s="8"/>
      <c r="P135" s="8"/>
      <c r="Q135" s="18">
        <f>1/M135</f>
        <v>1.9999999999999999E-6</v>
      </c>
      <c r="R135" s="8">
        <f t="shared" si="43"/>
        <v>6552</v>
      </c>
      <c r="S135" s="8">
        <v>7</v>
      </c>
      <c r="T135" s="8">
        <v>1.84</v>
      </c>
      <c r="U135" s="15">
        <v>0.7</v>
      </c>
      <c r="V135" s="8">
        <f t="shared" si="48"/>
        <v>53286.105600000003</v>
      </c>
      <c r="W135" s="15">
        <v>0.3</v>
      </c>
      <c r="X135" s="15">
        <v>0.1</v>
      </c>
      <c r="Y135" s="15">
        <v>0.1</v>
      </c>
      <c r="Z135" s="15"/>
      <c r="AA135" s="7">
        <f t="shared" si="49"/>
        <v>0.16412120524800003</v>
      </c>
      <c r="AB135" s="7">
        <f t="shared" si="44"/>
        <v>0.16</v>
      </c>
      <c r="AC135" s="109">
        <f t="shared" si="45"/>
        <v>0</v>
      </c>
      <c r="AD135" s="104">
        <f>IF(AE32=1,$AB135,0)</f>
        <v>0</v>
      </c>
      <c r="AE135" s="104">
        <f>AD135*AD$6</f>
        <v>0</v>
      </c>
      <c r="AF135" s="145">
        <f t="shared" si="42"/>
        <v>1007.4240000000002</v>
      </c>
      <c r="AG135" s="104">
        <f>IF(AH32=1,$AB135,0)</f>
        <v>0.16</v>
      </c>
      <c r="AH135" s="104">
        <f>AG135*AG$6</f>
        <v>83.952000000000012</v>
      </c>
    </row>
    <row r="136" spans="1:34" s="6" customFormat="1" ht="12">
      <c r="A136" s="3" t="s">
        <v>218</v>
      </c>
      <c r="B136" s="14" t="s">
        <v>24</v>
      </c>
      <c r="C136" s="1" t="s">
        <v>200</v>
      </c>
      <c r="D136" s="11" t="s">
        <v>0</v>
      </c>
      <c r="E136" s="8"/>
      <c r="F136" s="8"/>
      <c r="G136" s="8"/>
      <c r="H136" s="8"/>
      <c r="I136" s="8"/>
      <c r="J136" s="8"/>
      <c r="K136" s="8"/>
      <c r="L136" s="8"/>
      <c r="M136" s="60">
        <v>500000</v>
      </c>
      <c r="N136" s="8"/>
      <c r="O136" s="8"/>
      <c r="P136" s="8"/>
      <c r="Q136" s="18">
        <f>1/M136</f>
        <v>1.9999999999999999E-6</v>
      </c>
      <c r="R136" s="8">
        <f t="shared" si="43"/>
        <v>6552</v>
      </c>
      <c r="S136" s="8">
        <v>7</v>
      </c>
      <c r="T136" s="8">
        <v>1.84</v>
      </c>
      <c r="U136" s="15">
        <v>0.7</v>
      </c>
      <c r="V136" s="8">
        <f t="shared" si="48"/>
        <v>53286.105600000003</v>
      </c>
      <c r="W136" s="15">
        <v>0.3</v>
      </c>
      <c r="X136" s="15">
        <v>0.1</v>
      </c>
      <c r="Y136" s="15">
        <v>0.1</v>
      </c>
      <c r="Z136" s="15"/>
      <c r="AA136" s="7">
        <f t="shared" si="49"/>
        <v>0.16412120524800003</v>
      </c>
      <c r="AB136" s="7">
        <f t="shared" si="44"/>
        <v>0.16</v>
      </c>
      <c r="AC136" s="109">
        <f t="shared" si="45"/>
        <v>0</v>
      </c>
      <c r="AD136" s="104">
        <f>IF(AE31=1,$AB136,0)</f>
        <v>0</v>
      </c>
      <c r="AE136" s="104">
        <f>AD136*AD$6</f>
        <v>0</v>
      </c>
      <c r="AF136" s="145">
        <f t="shared" si="42"/>
        <v>1007.4240000000002</v>
      </c>
      <c r="AG136" s="104">
        <f>IF(AH31=1,$AB136,0)</f>
        <v>0.16</v>
      </c>
      <c r="AH136" s="104">
        <f>AG136*AG$6</f>
        <v>83.952000000000012</v>
      </c>
    </row>
    <row r="137" spans="1:34" s="6" customFormat="1" ht="12">
      <c r="A137" s="3" t="s">
        <v>219</v>
      </c>
      <c r="B137" s="14" t="s">
        <v>23</v>
      </c>
      <c r="C137" s="1" t="s">
        <v>200</v>
      </c>
      <c r="D137" s="11" t="s">
        <v>0</v>
      </c>
      <c r="E137" s="8"/>
      <c r="F137" s="8"/>
      <c r="G137" s="8"/>
      <c r="H137" s="8"/>
      <c r="I137" s="8"/>
      <c r="J137" s="8"/>
      <c r="K137" s="8"/>
      <c r="L137" s="8"/>
      <c r="M137" s="60">
        <v>500000</v>
      </c>
      <c r="N137" s="8"/>
      <c r="O137" s="8"/>
      <c r="P137" s="8"/>
      <c r="Q137" s="18">
        <f>1/M137</f>
        <v>1.9999999999999999E-6</v>
      </c>
      <c r="R137" s="8">
        <f t="shared" si="43"/>
        <v>6552</v>
      </c>
      <c r="S137" s="8">
        <v>7</v>
      </c>
      <c r="T137" s="8">
        <v>1.84</v>
      </c>
      <c r="U137" s="15">
        <v>0.7</v>
      </c>
      <c r="V137" s="8">
        <f t="shared" si="48"/>
        <v>53286.105600000003</v>
      </c>
      <c r="W137" s="15">
        <v>0.3</v>
      </c>
      <c r="X137" s="15">
        <v>0.1</v>
      </c>
      <c r="Y137" s="15">
        <v>0.1</v>
      </c>
      <c r="Z137" s="15"/>
      <c r="AA137" s="7">
        <f t="shared" si="49"/>
        <v>0.16412120524800003</v>
      </c>
      <c r="AB137" s="7">
        <f t="shared" si="44"/>
        <v>0.16</v>
      </c>
      <c r="AC137" s="109">
        <f t="shared" si="45"/>
        <v>0</v>
      </c>
      <c r="AD137" s="104">
        <f>IF(AE33=1,$AB137,0)</f>
        <v>0</v>
      </c>
      <c r="AE137" s="104">
        <f>AD137*AD$6</f>
        <v>0</v>
      </c>
      <c r="AF137" s="145">
        <f t="shared" si="42"/>
        <v>0</v>
      </c>
      <c r="AG137" s="104">
        <f>IF(AH33=1,$AB137,0)</f>
        <v>0</v>
      </c>
      <c r="AH137" s="104">
        <f>AG137*AG$6</f>
        <v>0</v>
      </c>
    </row>
    <row r="138" spans="1:34" s="6" customFormat="1" ht="13.5" customHeight="1">
      <c r="A138" s="3" t="s">
        <v>220</v>
      </c>
      <c r="B138" s="14" t="s">
        <v>22</v>
      </c>
      <c r="C138" s="1" t="s">
        <v>200</v>
      </c>
      <c r="D138" s="11" t="s">
        <v>0</v>
      </c>
      <c r="E138" s="8"/>
      <c r="F138" s="8"/>
      <c r="G138" s="8"/>
      <c r="H138" s="8"/>
      <c r="I138" s="8"/>
      <c r="J138" s="8"/>
      <c r="K138" s="8"/>
      <c r="L138" s="8"/>
      <c r="M138" s="60">
        <v>500000</v>
      </c>
      <c r="N138" s="8"/>
      <c r="O138" s="8"/>
      <c r="P138" s="8"/>
      <c r="Q138" s="18">
        <f>1/M138</f>
        <v>1.9999999999999999E-6</v>
      </c>
      <c r="R138" s="8">
        <f t="shared" si="43"/>
        <v>6552</v>
      </c>
      <c r="S138" s="8">
        <v>7</v>
      </c>
      <c r="T138" s="8">
        <v>1.84</v>
      </c>
      <c r="U138" s="15">
        <v>0.7</v>
      </c>
      <c r="V138" s="8">
        <f t="shared" si="48"/>
        <v>53286.105600000003</v>
      </c>
      <c r="W138" s="15">
        <v>0.3</v>
      </c>
      <c r="X138" s="15">
        <v>0.1</v>
      </c>
      <c r="Y138" s="15">
        <v>0.1</v>
      </c>
      <c r="Z138" s="15"/>
      <c r="AA138" s="7">
        <f t="shared" si="49"/>
        <v>0.16412120524800003</v>
      </c>
      <c r="AB138" s="7">
        <f t="shared" si="44"/>
        <v>0.16</v>
      </c>
      <c r="AC138" s="109">
        <f t="shared" si="45"/>
        <v>758.78399999999999</v>
      </c>
      <c r="AD138" s="104">
        <f>$AB138</f>
        <v>0.16</v>
      </c>
      <c r="AE138" s="104">
        <f>AD138*AD$6</f>
        <v>63.231999999999999</v>
      </c>
      <c r="AF138" s="145">
        <f t="shared" si="42"/>
        <v>1007.4240000000002</v>
      </c>
      <c r="AG138" s="104">
        <f>$AB138</f>
        <v>0.16</v>
      </c>
      <c r="AH138" s="104">
        <f>AG138*AG$6</f>
        <v>83.952000000000012</v>
      </c>
    </row>
    <row r="139" spans="1:34" s="6" customFormat="1" ht="15" customHeight="1">
      <c r="A139" s="21"/>
      <c r="B139" s="20" t="s">
        <v>262</v>
      </c>
      <c r="C139" s="1" t="s">
        <v>200</v>
      </c>
      <c r="D139" s="11" t="s">
        <v>0</v>
      </c>
      <c r="E139" s="1"/>
      <c r="F139" s="1"/>
      <c r="G139" s="8"/>
      <c r="H139" s="8"/>
      <c r="I139" s="8"/>
      <c r="J139" s="10"/>
      <c r="K139" s="10"/>
      <c r="L139" s="19"/>
      <c r="M139" s="8"/>
      <c r="N139" s="8"/>
      <c r="O139" s="8"/>
      <c r="P139" s="19">
        <f>(36+40)/2*(52-8)</f>
        <v>1672</v>
      </c>
      <c r="Q139" s="18">
        <f>14/140000</f>
        <v>1E-4</v>
      </c>
      <c r="R139" s="8">
        <v>6552</v>
      </c>
      <c r="S139" s="8">
        <v>11</v>
      </c>
      <c r="T139" s="8">
        <v>2.68</v>
      </c>
      <c r="U139" s="17">
        <v>0.4</v>
      </c>
      <c r="V139" s="8">
        <f t="shared" si="48"/>
        <v>63916.070399999997</v>
      </c>
      <c r="W139" s="15">
        <v>0.3</v>
      </c>
      <c r="X139" s="15">
        <v>0.7</v>
      </c>
      <c r="Y139" s="15">
        <v>0.1</v>
      </c>
      <c r="Z139" s="15"/>
      <c r="AA139" s="7">
        <f t="shared" si="49"/>
        <v>14.061535488000002</v>
      </c>
      <c r="AB139" s="7">
        <f t="shared" si="44"/>
        <v>14.06</v>
      </c>
      <c r="AC139" s="108">
        <f t="shared" si="45"/>
        <v>66678.144</v>
      </c>
      <c r="AD139" s="111">
        <f>$AB139</f>
        <v>14.06</v>
      </c>
      <c r="AE139" s="111">
        <f>$AB139*AD$6</f>
        <v>5556.5119999999997</v>
      </c>
      <c r="AF139" s="108">
        <f t="shared" si="42"/>
        <v>88527.38400000002</v>
      </c>
      <c r="AG139" s="111">
        <f>$AB139</f>
        <v>14.06</v>
      </c>
      <c r="AH139" s="111">
        <f>$AB139*AG$6</f>
        <v>7377.2820000000011</v>
      </c>
    </row>
    <row r="140" spans="1:34" ht="18" customHeight="1"/>
    <row r="145" spans="1:34" s="6" customFormat="1" ht="12">
      <c r="A145" s="67"/>
      <c r="B145" s="64"/>
      <c r="C145" s="131"/>
      <c r="D145" s="131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70"/>
      <c r="AC145" s="85"/>
      <c r="AD145" s="85"/>
      <c r="AE145" s="85"/>
      <c r="AF145" s="85"/>
      <c r="AG145" s="85"/>
      <c r="AH145" s="85"/>
    </row>
    <row r="146" spans="1:34" s="6" customFormat="1" ht="12">
      <c r="A146" s="67"/>
      <c r="B146" s="64"/>
      <c r="C146" s="131"/>
      <c r="D146" s="68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70"/>
      <c r="AC146" s="85"/>
      <c r="AD146" s="85"/>
      <c r="AE146" s="85"/>
      <c r="AF146" s="85"/>
      <c r="AG146" s="85"/>
      <c r="AH146" s="85"/>
    </row>
    <row r="147" spans="1:34" s="6" customFormat="1" ht="12">
      <c r="A147" s="67"/>
      <c r="B147" s="64"/>
      <c r="C147" s="131"/>
      <c r="D147" s="68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70"/>
      <c r="AC147" s="85"/>
      <c r="AD147" s="85"/>
      <c r="AE147" s="85"/>
      <c r="AF147" s="85"/>
      <c r="AG147" s="85"/>
      <c r="AH147" s="85"/>
    </row>
    <row r="148" spans="1:34">
      <c r="D148" s="147"/>
    </row>
  </sheetData>
  <mergeCells count="20">
    <mergeCell ref="C102:C103"/>
    <mergeCell ref="A40:B40"/>
    <mergeCell ref="C97:C98"/>
    <mergeCell ref="C94:C96"/>
    <mergeCell ref="C41:C53"/>
    <mergeCell ref="C54:C58"/>
    <mergeCell ref="C79:C84"/>
    <mergeCell ref="C63:C64"/>
    <mergeCell ref="C91:C93"/>
    <mergeCell ref="C65:C68"/>
    <mergeCell ref="C60:C62"/>
    <mergeCell ref="C85:C87"/>
    <mergeCell ref="C76:C78"/>
    <mergeCell ref="C72:C75"/>
    <mergeCell ref="C69:C71"/>
    <mergeCell ref="B4:D4"/>
    <mergeCell ref="AC5:AE5"/>
    <mergeCell ref="B3:AB3"/>
    <mergeCell ref="B2:AB2"/>
    <mergeCell ref="AF5:AH5"/>
  </mergeCells>
  <phoneticPr fontId="27" type="noConversion"/>
  <pageMargins left="0.39370078740157483" right="0.19685039370078741" top="0.39370078740157483" bottom="0.19685039370078741" header="0.31496062992125984" footer="0.31496062992125984"/>
  <pageSetup paperSize="9" scale="56" fitToHeight="4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13"/>
  <sheetViews>
    <sheetView workbookViewId="0">
      <selection activeCell="K6" sqref="K6"/>
    </sheetView>
  </sheetViews>
  <sheetFormatPr defaultRowHeight="15"/>
  <cols>
    <col min="5" max="5" width="13.7109375" customWidth="1"/>
    <col min="6" max="6" width="13.42578125" customWidth="1"/>
    <col min="7" max="7" width="14.5703125" customWidth="1"/>
    <col min="8" max="8" width="16.140625" customWidth="1"/>
    <col min="9" max="9" width="15.140625" customWidth="1"/>
    <col min="10" max="10" width="13.28515625" customWidth="1"/>
    <col min="11" max="11" width="14.140625" customWidth="1"/>
  </cols>
  <sheetData>
    <row r="3" spans="3:12">
      <c r="C3" t="s">
        <v>276</v>
      </c>
      <c r="E3">
        <v>16242</v>
      </c>
      <c r="G3" t="s">
        <v>277</v>
      </c>
      <c r="K3">
        <v>1979</v>
      </c>
      <c r="L3" t="s">
        <v>285</v>
      </c>
    </row>
    <row r="4" spans="3:12" ht="45">
      <c r="C4" s="170" t="s">
        <v>76</v>
      </c>
      <c r="D4" s="170" t="s">
        <v>278</v>
      </c>
      <c r="E4" s="171" t="s">
        <v>279</v>
      </c>
      <c r="F4" s="171" t="s">
        <v>280</v>
      </c>
      <c r="G4" s="172" t="s">
        <v>284</v>
      </c>
      <c r="H4" s="171" t="s">
        <v>286</v>
      </c>
      <c r="I4" s="171" t="s">
        <v>281</v>
      </c>
      <c r="J4" s="171" t="s">
        <v>282</v>
      </c>
      <c r="K4" s="171" t="s">
        <v>283</v>
      </c>
    </row>
    <row r="5" spans="3:12">
      <c r="C5" s="170">
        <v>1</v>
      </c>
      <c r="D5" s="173">
        <v>19242</v>
      </c>
      <c r="E5" s="175">
        <v>0.2</v>
      </c>
      <c r="F5" s="175">
        <v>0.5</v>
      </c>
      <c r="G5" s="173">
        <f>D5*E5+D5*F5+D5</f>
        <v>32711.4</v>
      </c>
      <c r="H5" s="173">
        <v>1</v>
      </c>
      <c r="I5" s="174">
        <f>G5*H5</f>
        <v>32711.4</v>
      </c>
      <c r="J5" s="174">
        <f>I5*12</f>
        <v>392536.80000000005</v>
      </c>
      <c r="K5" s="174">
        <f>J5/K3</f>
        <v>198.35108640727643</v>
      </c>
    </row>
    <row r="6" spans="3:12">
      <c r="C6" s="170">
        <v>2</v>
      </c>
      <c r="D6" s="173">
        <v>19242</v>
      </c>
      <c r="E6" s="175">
        <v>0.2</v>
      </c>
      <c r="F6" s="175">
        <v>0.5</v>
      </c>
      <c r="G6" s="173">
        <f t="shared" ref="G6:G10" si="0">D6*E6+D6*F6+D6</f>
        <v>32711.4</v>
      </c>
      <c r="H6" s="173">
        <v>1.093</v>
      </c>
      <c r="I6" s="174">
        <f t="shared" ref="I6:I10" si="1">G6*H6</f>
        <v>35753.5602</v>
      </c>
      <c r="J6" s="174">
        <f t="shared" ref="J6:J10" si="2">I6*12</f>
        <v>429042.72239999997</v>
      </c>
      <c r="K6" s="174">
        <f>J6/K3</f>
        <v>216.7977374431531</v>
      </c>
    </row>
    <row r="7" spans="3:12">
      <c r="C7" s="170">
        <v>3</v>
      </c>
      <c r="D7" s="173">
        <v>19242</v>
      </c>
      <c r="E7" s="175">
        <v>0.2</v>
      </c>
      <c r="F7" s="175">
        <v>0.5</v>
      </c>
      <c r="G7" s="173">
        <f t="shared" si="0"/>
        <v>32711.4</v>
      </c>
      <c r="H7" s="173">
        <v>1.2030000000000001</v>
      </c>
      <c r="I7" s="174">
        <f t="shared" si="1"/>
        <v>39351.814200000001</v>
      </c>
      <c r="J7" s="174">
        <f t="shared" si="2"/>
        <v>472221.77040000004</v>
      </c>
      <c r="K7" s="174">
        <f>J7/K3</f>
        <v>238.61635694795353</v>
      </c>
    </row>
    <row r="8" spans="3:12">
      <c r="C8" s="170">
        <v>4</v>
      </c>
      <c r="D8" s="173">
        <v>19242</v>
      </c>
      <c r="E8" s="175">
        <v>0.2</v>
      </c>
      <c r="F8" s="175">
        <v>0.5</v>
      </c>
      <c r="G8" s="173">
        <f t="shared" si="0"/>
        <v>32711.4</v>
      </c>
      <c r="H8" s="173">
        <v>1.3520000000000001</v>
      </c>
      <c r="I8" s="174">
        <f t="shared" si="1"/>
        <v>44225.812800000007</v>
      </c>
      <c r="J8" s="174">
        <f t="shared" si="2"/>
        <v>530709.75360000005</v>
      </c>
      <c r="K8" s="174">
        <f>J8/K3</f>
        <v>268.17066882263771</v>
      </c>
    </row>
    <row r="9" spans="3:12">
      <c r="C9" s="170">
        <v>5</v>
      </c>
      <c r="D9" s="173">
        <v>19242</v>
      </c>
      <c r="E9" s="175">
        <v>0.2</v>
      </c>
      <c r="F9" s="175">
        <v>0.5</v>
      </c>
      <c r="G9" s="173">
        <f t="shared" si="0"/>
        <v>32711.4</v>
      </c>
      <c r="H9" s="173">
        <v>1.5369999999999999</v>
      </c>
      <c r="I9" s="174">
        <f t="shared" si="1"/>
        <v>50277.421799999996</v>
      </c>
      <c r="J9" s="174">
        <f t="shared" si="2"/>
        <v>603329.0615999999</v>
      </c>
      <c r="K9" s="174">
        <f>J9/K3</f>
        <v>304.86561980798376</v>
      </c>
    </row>
    <row r="10" spans="3:12">
      <c r="C10" s="170">
        <v>6</v>
      </c>
      <c r="D10" s="173">
        <v>19242</v>
      </c>
      <c r="E10" s="175">
        <v>0.2</v>
      </c>
      <c r="F10" s="175">
        <v>0.5</v>
      </c>
      <c r="G10" s="173">
        <f t="shared" si="0"/>
        <v>32711.4</v>
      </c>
      <c r="H10" s="173">
        <v>1.796</v>
      </c>
      <c r="I10" s="174">
        <f t="shared" si="1"/>
        <v>58749.674400000004</v>
      </c>
      <c r="J10" s="174">
        <f t="shared" si="2"/>
        <v>704996.09279999998</v>
      </c>
      <c r="K10" s="174">
        <f>J10/K3</f>
        <v>356.23855118746843</v>
      </c>
    </row>
    <row r="13" spans="3:12" ht="37.5" customHeight="1">
      <c r="C13" s="268" t="s">
        <v>287</v>
      </c>
      <c r="D13" s="268"/>
      <c r="E13" s="268"/>
      <c r="F13" s="268"/>
      <c r="G13" s="268"/>
      <c r="H13" s="268"/>
      <c r="I13" s="268"/>
      <c r="J13" s="268"/>
      <c r="K13" s="268"/>
    </row>
  </sheetData>
  <mergeCells count="1">
    <mergeCell ref="C13:K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3:O22"/>
  <sheetViews>
    <sheetView topLeftCell="B1" workbookViewId="0">
      <selection activeCell="L8" sqref="L8"/>
    </sheetView>
  </sheetViews>
  <sheetFormatPr defaultRowHeight="15"/>
  <cols>
    <col min="3" max="3" width="36.7109375" customWidth="1"/>
    <col min="4" max="4" width="13.42578125" customWidth="1"/>
    <col min="5" max="5" width="11.5703125" customWidth="1"/>
    <col min="6" max="8" width="13.140625" customWidth="1"/>
    <col min="9" max="9" width="10.42578125" customWidth="1"/>
    <col min="10" max="10" width="14" customWidth="1"/>
    <col min="14" max="14" width="22.7109375" customWidth="1"/>
  </cols>
  <sheetData>
    <row r="3" spans="2:14">
      <c r="C3" s="177" t="s">
        <v>363</v>
      </c>
      <c r="D3" s="177"/>
    </row>
    <row r="5" spans="2:14" ht="76.5">
      <c r="B5" s="181" t="s">
        <v>92</v>
      </c>
      <c r="C5" s="181" t="s">
        <v>323</v>
      </c>
      <c r="D5" s="182" t="s">
        <v>365</v>
      </c>
      <c r="E5" s="182" t="s">
        <v>330</v>
      </c>
      <c r="F5" s="182" t="s">
        <v>380</v>
      </c>
      <c r="G5" s="182" t="s">
        <v>373</v>
      </c>
      <c r="H5" s="182" t="s">
        <v>381</v>
      </c>
      <c r="I5" s="22" t="s">
        <v>79</v>
      </c>
      <c r="J5" s="22" t="s">
        <v>332</v>
      </c>
      <c r="K5" s="22" t="s">
        <v>333</v>
      </c>
      <c r="L5" s="22" t="s">
        <v>76</v>
      </c>
      <c r="M5" s="22" t="s">
        <v>334</v>
      </c>
      <c r="N5" s="22" t="s">
        <v>73</v>
      </c>
    </row>
    <row r="6" spans="2:14">
      <c r="B6" s="179">
        <v>1</v>
      </c>
      <c r="C6" s="203" t="s">
        <v>364</v>
      </c>
      <c r="D6" s="203"/>
      <c r="E6" s="179"/>
      <c r="F6" s="179"/>
      <c r="G6" s="179"/>
      <c r="H6" s="179"/>
      <c r="I6" s="179"/>
      <c r="J6" s="179"/>
      <c r="K6" s="179"/>
      <c r="L6" s="179"/>
      <c r="M6" s="179"/>
      <c r="N6" s="204">
        <f>N7+N8+N9+N10+N11+N12+N13</f>
        <v>3153436.5320640001</v>
      </c>
    </row>
    <row r="7" spans="2:14">
      <c r="B7" s="179"/>
      <c r="C7" s="203" t="s">
        <v>366</v>
      </c>
      <c r="D7" s="179">
        <v>900</v>
      </c>
      <c r="E7" s="170">
        <v>4</v>
      </c>
      <c r="F7" s="170">
        <v>225</v>
      </c>
      <c r="G7" s="170">
        <f>F7/D7*E7</f>
        <v>1</v>
      </c>
      <c r="H7" s="170">
        <v>1979</v>
      </c>
      <c r="I7" s="205">
        <f>G7*H7</f>
        <v>1979</v>
      </c>
      <c r="J7" s="179">
        <v>1.1200000000000001</v>
      </c>
      <c r="K7" s="205">
        <f>I7*J7</f>
        <v>2216.48</v>
      </c>
      <c r="L7" s="170">
        <v>4</v>
      </c>
      <c r="M7" s="205">
        <f>ФОТ!K8</f>
        <v>268.17066882263771</v>
      </c>
      <c r="N7" s="206">
        <f>K7*M7</f>
        <v>594394.92403200001</v>
      </c>
    </row>
    <row r="8" spans="2:14">
      <c r="B8" s="179"/>
      <c r="C8" s="203" t="s">
        <v>367</v>
      </c>
      <c r="D8" s="179">
        <v>900</v>
      </c>
      <c r="E8" s="170">
        <v>2</v>
      </c>
      <c r="F8" s="170">
        <v>225</v>
      </c>
      <c r="G8" s="170">
        <f t="shared" ref="G8:G13" si="0">F8/D8*E8</f>
        <v>0.5</v>
      </c>
      <c r="H8" s="170">
        <v>1979</v>
      </c>
      <c r="I8" s="205">
        <f t="shared" ref="I8:I13" si="1">G8*H8</f>
        <v>989.5</v>
      </c>
      <c r="J8" s="179">
        <v>1.1200000000000001</v>
      </c>
      <c r="K8" s="205">
        <f t="shared" ref="K8:K13" si="2">I8*J8</f>
        <v>1108.24</v>
      </c>
      <c r="L8" s="170">
        <v>3</v>
      </c>
      <c r="M8" s="205">
        <f>ФОТ!K7</f>
        <v>238.61635694795353</v>
      </c>
      <c r="N8" s="206">
        <f t="shared" ref="N8:N13" si="3">K8*M8</f>
        <v>264444.19142400002</v>
      </c>
    </row>
    <row r="9" spans="2:14" ht="60">
      <c r="B9" s="179"/>
      <c r="C9" s="209" t="s">
        <v>368</v>
      </c>
      <c r="D9" s="172">
        <v>900</v>
      </c>
      <c r="E9" s="170">
        <v>10</v>
      </c>
      <c r="F9" s="170">
        <v>225</v>
      </c>
      <c r="G9" s="170">
        <f t="shared" si="0"/>
        <v>2.5</v>
      </c>
      <c r="H9" s="170">
        <v>1979</v>
      </c>
      <c r="I9" s="205">
        <f t="shared" si="1"/>
        <v>4947.5</v>
      </c>
      <c r="J9" s="179">
        <v>1.1200000000000001</v>
      </c>
      <c r="K9" s="205">
        <f t="shared" si="2"/>
        <v>5541.2000000000007</v>
      </c>
      <c r="L9" s="170">
        <v>2</v>
      </c>
      <c r="M9" s="205">
        <f>ФОТ!K6</f>
        <v>216.7977374431531</v>
      </c>
      <c r="N9" s="206">
        <f t="shared" si="3"/>
        <v>1201319.6227200001</v>
      </c>
    </row>
    <row r="10" spans="2:14" ht="30">
      <c r="B10" s="179"/>
      <c r="C10" s="209" t="s">
        <v>369</v>
      </c>
      <c r="D10" s="179">
        <v>900</v>
      </c>
      <c r="E10" s="170">
        <v>3</v>
      </c>
      <c r="F10" s="170">
        <v>225</v>
      </c>
      <c r="G10" s="170">
        <f t="shared" si="0"/>
        <v>0.75</v>
      </c>
      <c r="H10" s="170">
        <v>1979</v>
      </c>
      <c r="I10" s="205">
        <f t="shared" si="1"/>
        <v>1484.25</v>
      </c>
      <c r="J10" s="179">
        <v>1.1200000000000001</v>
      </c>
      <c r="K10" s="205">
        <f t="shared" si="2"/>
        <v>1662.3600000000001</v>
      </c>
      <c r="L10" s="170">
        <v>2</v>
      </c>
      <c r="M10" s="205">
        <f>ФОТ!K6</f>
        <v>216.7977374431531</v>
      </c>
      <c r="N10" s="206">
        <f t="shared" si="3"/>
        <v>360395.88681599998</v>
      </c>
    </row>
    <row r="11" spans="2:14">
      <c r="B11" s="179"/>
      <c r="C11" s="203" t="s">
        <v>372</v>
      </c>
      <c r="D11" s="179">
        <v>900</v>
      </c>
      <c r="E11" s="170">
        <v>3</v>
      </c>
      <c r="F11" s="170">
        <v>225</v>
      </c>
      <c r="G11" s="170">
        <f t="shared" si="0"/>
        <v>0.75</v>
      </c>
      <c r="H11" s="170">
        <v>1979</v>
      </c>
      <c r="I11" s="205">
        <f t="shared" si="1"/>
        <v>1484.25</v>
      </c>
      <c r="J11" s="179">
        <v>1.1200000000000001</v>
      </c>
      <c r="K11" s="205">
        <f t="shared" si="2"/>
        <v>1662.3600000000001</v>
      </c>
      <c r="L11" s="170">
        <v>2</v>
      </c>
      <c r="M11" s="205">
        <f>ФОТ!K6</f>
        <v>216.7977374431531</v>
      </c>
      <c r="N11" s="206">
        <f t="shared" si="3"/>
        <v>360395.88681599998</v>
      </c>
    </row>
    <row r="12" spans="2:14" ht="30">
      <c r="B12" s="179"/>
      <c r="C12" s="209" t="s">
        <v>370</v>
      </c>
      <c r="D12" s="179">
        <v>900</v>
      </c>
      <c r="E12" s="238">
        <v>2</v>
      </c>
      <c r="F12" s="170">
        <v>225</v>
      </c>
      <c r="G12" s="170">
        <f t="shared" si="0"/>
        <v>0.5</v>
      </c>
      <c r="H12" s="170">
        <v>1979</v>
      </c>
      <c r="I12" s="205">
        <f t="shared" si="1"/>
        <v>989.5</v>
      </c>
      <c r="J12" s="179">
        <v>1.1200000000000001</v>
      </c>
      <c r="K12" s="205">
        <f t="shared" si="2"/>
        <v>1108.24</v>
      </c>
      <c r="L12" s="170">
        <v>2</v>
      </c>
      <c r="M12" s="205">
        <f>ФОТ!K6</f>
        <v>216.7977374431531</v>
      </c>
      <c r="N12" s="206">
        <f t="shared" si="3"/>
        <v>240263.92454399998</v>
      </c>
    </row>
    <row r="13" spans="2:14">
      <c r="B13" s="179"/>
      <c r="C13" s="203" t="s">
        <v>371</v>
      </c>
      <c r="D13" s="179">
        <v>900</v>
      </c>
      <c r="E13" s="238">
        <v>1</v>
      </c>
      <c r="F13" s="170">
        <v>225</v>
      </c>
      <c r="G13" s="170">
        <f t="shared" si="0"/>
        <v>0.25</v>
      </c>
      <c r="H13" s="170">
        <v>1979</v>
      </c>
      <c r="I13" s="205">
        <f t="shared" si="1"/>
        <v>494.75</v>
      </c>
      <c r="J13" s="179">
        <v>1.1200000000000001</v>
      </c>
      <c r="K13" s="205">
        <f t="shared" si="2"/>
        <v>554.12</v>
      </c>
      <c r="L13" s="170">
        <v>3</v>
      </c>
      <c r="M13" s="205">
        <f>M8</f>
        <v>238.61635694795353</v>
      </c>
      <c r="N13" s="206">
        <f t="shared" si="3"/>
        <v>132222.09571200001</v>
      </c>
    </row>
    <row r="14" spans="2:14">
      <c r="B14" s="179">
        <v>2</v>
      </c>
      <c r="C14" s="203" t="s">
        <v>72</v>
      </c>
      <c r="D14" s="239">
        <v>0.3</v>
      </c>
      <c r="E14" s="175"/>
      <c r="F14" s="175"/>
      <c r="G14" s="175"/>
      <c r="H14" s="175"/>
      <c r="I14" s="179"/>
      <c r="J14" s="179"/>
      <c r="K14" s="179"/>
      <c r="L14" s="179"/>
      <c r="M14" s="179"/>
      <c r="N14" s="203">
        <f>N6*D14</f>
        <v>946030.95961919997</v>
      </c>
    </row>
    <row r="15" spans="2:14">
      <c r="B15" s="179">
        <v>3</v>
      </c>
      <c r="C15" s="241" t="s">
        <v>374</v>
      </c>
      <c r="D15" s="203"/>
      <c r="E15" s="175"/>
      <c r="F15" s="175"/>
      <c r="G15" s="175"/>
      <c r="H15" s="175"/>
      <c r="I15" s="179"/>
      <c r="J15" s="179"/>
      <c r="K15" s="179"/>
      <c r="L15" s="179"/>
      <c r="M15" s="179"/>
      <c r="N15" s="203">
        <v>0</v>
      </c>
    </row>
    <row r="16" spans="2:14">
      <c r="B16" s="179">
        <v>4</v>
      </c>
      <c r="C16" s="203" t="s">
        <v>337</v>
      </c>
      <c r="D16" s="239">
        <v>0.7</v>
      </c>
      <c r="E16" s="175"/>
      <c r="F16" s="175"/>
      <c r="G16" s="175"/>
      <c r="H16" s="175"/>
      <c r="I16" s="179"/>
      <c r="J16" s="179"/>
      <c r="K16" s="179"/>
      <c r="L16" s="179"/>
      <c r="M16" s="179"/>
      <c r="N16" s="203">
        <f>N6*D16</f>
        <v>2207405.5724447998</v>
      </c>
    </row>
    <row r="17" spans="2:15">
      <c r="B17" s="179">
        <v>5</v>
      </c>
      <c r="C17" s="203" t="s">
        <v>375</v>
      </c>
      <c r="D17" s="239">
        <v>0.1</v>
      </c>
      <c r="E17" s="179"/>
      <c r="F17" s="179"/>
      <c r="G17" s="179"/>
      <c r="H17" s="179"/>
      <c r="I17" s="179"/>
      <c r="J17" s="179"/>
      <c r="K17" s="179"/>
      <c r="L17" s="179"/>
      <c r="M17" s="179"/>
      <c r="N17" s="204">
        <f>N6*D17</f>
        <v>315343.65320640005</v>
      </c>
    </row>
    <row r="18" spans="2:15">
      <c r="B18" s="179"/>
      <c r="C18" s="203" t="s">
        <v>377</v>
      </c>
      <c r="D18" s="239"/>
      <c r="E18" s="179"/>
      <c r="F18" s="179"/>
      <c r="G18" s="179"/>
      <c r="H18" s="179"/>
      <c r="I18" s="179"/>
      <c r="J18" s="179"/>
      <c r="K18" s="179"/>
      <c r="L18" s="179"/>
      <c r="M18" s="179"/>
      <c r="N18" s="204">
        <f>N6+N14+N15+N16+N17</f>
        <v>6622216.7173343999</v>
      </c>
      <c r="O18" s="229">
        <f>N18/D21/12</f>
        <v>2.4526728582719999</v>
      </c>
    </row>
    <row r="19" spans="2:15">
      <c r="B19" s="179"/>
      <c r="C19" s="209" t="s">
        <v>376</v>
      </c>
      <c r="D19" s="240">
        <v>0.2</v>
      </c>
      <c r="E19" s="210"/>
      <c r="F19" s="210"/>
      <c r="G19" s="210"/>
      <c r="H19" s="210"/>
      <c r="I19" s="179"/>
      <c r="J19" s="179"/>
      <c r="K19" s="179"/>
      <c r="L19" s="179"/>
      <c r="M19" s="179"/>
      <c r="N19" s="203">
        <f>N18*D19</f>
        <v>1324443.34346688</v>
      </c>
    </row>
    <row r="20" spans="2:15">
      <c r="B20" s="179"/>
      <c r="C20" s="203" t="s">
        <v>342</v>
      </c>
      <c r="D20" s="203"/>
      <c r="E20" s="175"/>
      <c r="F20" s="175"/>
      <c r="G20" s="175"/>
      <c r="H20" s="175"/>
      <c r="I20" s="179"/>
      <c r="J20" s="179"/>
      <c r="K20" s="179"/>
      <c r="L20" s="179"/>
      <c r="M20" s="179"/>
      <c r="N20" s="208">
        <f>N18+N19</f>
        <v>7946660.0608012797</v>
      </c>
    </row>
    <row r="21" spans="2:15" ht="30">
      <c r="B21" s="179"/>
      <c r="C21" s="209" t="s">
        <v>340</v>
      </c>
      <c r="D21" s="203">
        <v>225000</v>
      </c>
      <c r="E21" s="175"/>
      <c r="F21" s="175"/>
      <c r="G21" s="175"/>
      <c r="H21" s="175"/>
      <c r="I21" s="179"/>
      <c r="J21" s="179"/>
      <c r="K21" s="179"/>
      <c r="L21" s="179"/>
      <c r="M21" s="179"/>
      <c r="N21" s="209"/>
    </row>
    <row r="22" spans="2:15">
      <c r="B22" s="179"/>
      <c r="C22" s="211" t="s">
        <v>341</v>
      </c>
      <c r="D22" s="211"/>
      <c r="E22" s="179"/>
      <c r="F22" s="179"/>
      <c r="G22" s="179"/>
      <c r="H22" s="179"/>
      <c r="I22" s="179"/>
      <c r="J22" s="179"/>
      <c r="K22" s="179"/>
      <c r="L22" s="179"/>
      <c r="M22" s="179"/>
      <c r="N22" s="208">
        <f>N20/D21/12</f>
        <v>2.9432074299263999</v>
      </c>
    </row>
  </sheetData>
  <pageMargins left="0.70866141732283472" right="0.70866141732283472" top="0.74803149606299213" bottom="0.74803149606299213" header="0.31496062992125984" footer="0.31496062992125984"/>
  <pageSetup paperSize="9" scale="64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25"/>
  <sheetViews>
    <sheetView topLeftCell="A3" workbookViewId="0">
      <selection activeCell="D25" sqref="D25"/>
    </sheetView>
  </sheetViews>
  <sheetFormatPr defaultRowHeight="15"/>
  <cols>
    <col min="3" max="3" width="45.5703125" customWidth="1"/>
    <col min="4" max="4" width="36.140625" customWidth="1"/>
  </cols>
  <sheetData>
    <row r="3" spans="3:4">
      <c r="C3" s="177" t="s">
        <v>288</v>
      </c>
    </row>
    <row r="5" spans="3:4" ht="60">
      <c r="C5" s="172" t="s">
        <v>289</v>
      </c>
      <c r="D5" s="225" t="s">
        <v>400</v>
      </c>
    </row>
    <row r="6" spans="3:4">
      <c r="C6" s="179" t="s">
        <v>291</v>
      </c>
      <c r="D6" s="179"/>
    </row>
    <row r="7" spans="3:4">
      <c r="C7" s="179" t="s">
        <v>292</v>
      </c>
      <c r="D7" s="179"/>
    </row>
    <row r="8" spans="3:4">
      <c r="C8" s="179" t="s">
        <v>290</v>
      </c>
      <c r="D8" s="179">
        <v>460</v>
      </c>
    </row>
    <row r="9" spans="3:4">
      <c r="C9" s="179" t="s">
        <v>293</v>
      </c>
      <c r="D9" s="179"/>
    </row>
    <row r="10" spans="3:4">
      <c r="C10" s="179" t="s">
        <v>294</v>
      </c>
      <c r="D10" s="179">
        <v>405.8</v>
      </c>
    </row>
    <row r="11" spans="3:4">
      <c r="C11" s="179" t="s">
        <v>295</v>
      </c>
      <c r="D11" s="226"/>
    </row>
    <row r="12" spans="3:4">
      <c r="C12" s="179" t="s">
        <v>296</v>
      </c>
      <c r="D12" s="226"/>
    </row>
    <row r="13" spans="3:4">
      <c r="C13" s="179" t="s">
        <v>297</v>
      </c>
      <c r="D13" s="179">
        <v>2</v>
      </c>
    </row>
    <row r="14" spans="3:4">
      <c r="C14" s="179" t="s">
        <v>385</v>
      </c>
      <c r="D14" s="179"/>
    </row>
    <row r="15" spans="3:4">
      <c r="C15" s="179" t="s">
        <v>298</v>
      </c>
      <c r="D15" s="227"/>
    </row>
    <row r="16" spans="3:4">
      <c r="C16" s="179" t="s">
        <v>299</v>
      </c>
      <c r="D16" s="228"/>
    </row>
    <row r="17" spans="3:4">
      <c r="C17" s="179" t="s">
        <v>300</v>
      </c>
      <c r="D17" s="227" t="s">
        <v>382</v>
      </c>
    </row>
    <row r="18" spans="3:4">
      <c r="C18" s="179" t="s">
        <v>301</v>
      </c>
      <c r="D18" s="228" t="s">
        <v>383</v>
      </c>
    </row>
    <row r="19" spans="3:4">
      <c r="C19" s="179" t="s">
        <v>302</v>
      </c>
      <c r="D19" s="228" t="s">
        <v>395</v>
      </c>
    </row>
    <row r="20" spans="3:4">
      <c r="C20" s="179" t="s">
        <v>303</v>
      </c>
      <c r="D20" s="227" t="s">
        <v>93</v>
      </c>
    </row>
    <row r="21" spans="3:4">
      <c r="C21" s="179" t="s">
        <v>384</v>
      </c>
      <c r="D21" s="227" t="s">
        <v>275</v>
      </c>
    </row>
    <row r="22" spans="3:4">
      <c r="C22" s="179" t="s">
        <v>304</v>
      </c>
      <c r="D22" s="227" t="s">
        <v>93</v>
      </c>
    </row>
    <row r="23" spans="3:4">
      <c r="C23" s="179" t="s">
        <v>305</v>
      </c>
      <c r="D23" s="227"/>
    </row>
    <row r="24" spans="3:4">
      <c r="C24" s="179" t="s">
        <v>119</v>
      </c>
      <c r="D24" s="179">
        <v>2009</v>
      </c>
    </row>
    <row r="25" spans="3:4">
      <c r="C25" s="179" t="s">
        <v>306</v>
      </c>
      <c r="D25" s="179">
        <v>117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W49"/>
  <sheetViews>
    <sheetView tabSelected="1" zoomScaleNormal="100" workbookViewId="0">
      <pane xSplit="1" ySplit="5" topLeftCell="B6" activePane="bottomRight" state="frozen"/>
      <selection pane="topRight"/>
      <selection pane="bottomLeft"/>
      <selection pane="bottomRight" activeCell="R15" sqref="R15"/>
    </sheetView>
  </sheetViews>
  <sheetFormatPr defaultRowHeight="15"/>
  <cols>
    <col min="1" max="1" width="7.28515625" customWidth="1"/>
    <col min="2" max="2" width="28.85546875" customWidth="1"/>
    <col min="3" max="3" width="16.140625" customWidth="1"/>
    <col min="4" max="4" width="14.5703125" customWidth="1"/>
    <col min="5" max="5" width="21.28515625" customWidth="1"/>
    <col min="6" max="7" width="18.28515625" customWidth="1"/>
    <col min="8" max="8" width="14" customWidth="1"/>
    <col min="9" max="9" width="12.42578125" customWidth="1"/>
    <col min="12" max="12" width="10.7109375" customWidth="1"/>
    <col min="13" max="13" width="10.42578125" bestFit="1" customWidth="1"/>
    <col min="15" max="15" width="11.85546875" customWidth="1"/>
    <col min="17" max="17" width="10.85546875" customWidth="1"/>
    <col min="19" max="19" width="9.42578125" bestFit="1" customWidth="1"/>
    <col min="20" max="20" width="9.7109375" customWidth="1"/>
    <col min="21" max="21" width="10.140625" customWidth="1"/>
    <col min="23" max="23" width="9.140625" customWidth="1"/>
  </cols>
  <sheetData>
    <row r="5" spans="1:23" ht="76.5">
      <c r="A5" s="185" t="s">
        <v>92</v>
      </c>
      <c r="B5" s="185" t="s">
        <v>308</v>
      </c>
      <c r="C5" s="188" t="s">
        <v>314</v>
      </c>
      <c r="D5" s="188" t="s">
        <v>307</v>
      </c>
      <c r="E5" s="188" t="s">
        <v>90</v>
      </c>
      <c r="F5" s="189" t="s">
        <v>315</v>
      </c>
      <c r="G5" s="189" t="s">
        <v>83</v>
      </c>
      <c r="H5" s="188" t="s">
        <v>309</v>
      </c>
      <c r="I5" s="189" t="s">
        <v>79</v>
      </c>
      <c r="J5" s="189" t="s">
        <v>77</v>
      </c>
      <c r="K5" s="189" t="s">
        <v>76</v>
      </c>
      <c r="L5" s="189" t="s">
        <v>75</v>
      </c>
      <c r="M5" s="189" t="s">
        <v>73</v>
      </c>
      <c r="N5" s="189" t="s">
        <v>313</v>
      </c>
      <c r="O5" s="189" t="s">
        <v>311</v>
      </c>
      <c r="P5" s="189" t="s">
        <v>312</v>
      </c>
      <c r="Q5" s="189" t="s">
        <v>393</v>
      </c>
      <c r="R5" s="189" t="s">
        <v>69</v>
      </c>
      <c r="S5" s="190" t="s">
        <v>132</v>
      </c>
      <c r="T5" s="190" t="s">
        <v>134</v>
      </c>
      <c r="U5" s="190" t="s">
        <v>317</v>
      </c>
      <c r="V5" s="190" t="s">
        <v>316</v>
      </c>
      <c r="W5" s="191" t="s">
        <v>360</v>
      </c>
    </row>
    <row r="6" spans="1:23" ht="16.5" customHeight="1">
      <c r="A6" s="185"/>
      <c r="B6" s="272" t="s">
        <v>139</v>
      </c>
      <c r="C6" s="272"/>
      <c r="D6" s="272"/>
      <c r="E6" s="272"/>
      <c r="F6" s="272"/>
      <c r="G6" s="22"/>
      <c r="H6" s="182"/>
      <c r="I6" s="22"/>
      <c r="J6" s="22"/>
      <c r="K6" s="22"/>
      <c r="L6" s="22"/>
      <c r="M6" s="22"/>
      <c r="N6" s="22"/>
      <c r="O6" s="22"/>
      <c r="P6" s="22"/>
      <c r="Q6" s="22"/>
      <c r="R6" s="22"/>
      <c r="S6" s="158"/>
      <c r="T6" s="158"/>
      <c r="U6" s="158"/>
      <c r="V6" s="179"/>
      <c r="W6" s="179"/>
    </row>
    <row r="7" spans="1:23">
      <c r="A7" s="179" t="s">
        <v>205</v>
      </c>
      <c r="B7" s="20" t="s">
        <v>50</v>
      </c>
      <c r="C7" s="194"/>
      <c r="D7" s="194"/>
      <c r="E7" s="194"/>
      <c r="F7" s="194"/>
      <c r="G7" s="192"/>
      <c r="H7" s="196"/>
      <c r="I7" s="192"/>
      <c r="J7" s="196"/>
      <c r="K7" s="180"/>
      <c r="L7" s="180"/>
      <c r="M7" s="192"/>
      <c r="N7" s="192"/>
      <c r="O7" s="192"/>
      <c r="P7" s="192"/>
      <c r="Q7" s="196"/>
      <c r="R7" s="192"/>
      <c r="S7" s="192"/>
      <c r="T7" s="198"/>
      <c r="U7" s="192"/>
      <c r="V7" s="193"/>
      <c r="W7" s="193"/>
    </row>
    <row r="8" spans="1:23" ht="24">
      <c r="A8" s="179"/>
      <c r="B8" s="186" t="s">
        <v>318</v>
      </c>
      <c r="C8" s="194">
        <v>24</v>
      </c>
      <c r="D8" s="194" t="s">
        <v>310</v>
      </c>
      <c r="E8" s="221">
        <v>1.3979999999999999E-2</v>
      </c>
      <c r="F8" s="195">
        <v>180</v>
      </c>
      <c r="G8" s="192">
        <f>(E8*C8*F8)/60</f>
        <v>1.0065599999999999</v>
      </c>
      <c r="H8" s="196">
        <v>1.1200000000000001</v>
      </c>
      <c r="I8" s="192">
        <f t="shared" ref="I8" si="0">G8*H8</f>
        <v>1.1273472</v>
      </c>
      <c r="J8" s="197">
        <v>1865</v>
      </c>
      <c r="K8" s="180">
        <v>1</v>
      </c>
      <c r="L8" s="180">
        <v>1</v>
      </c>
      <c r="M8" s="196">
        <f>I8*J8</f>
        <v>2102.502528</v>
      </c>
      <c r="N8" s="192">
        <f t="shared" ref="N8:N27" si="1">M8*0.3</f>
        <v>630.7507584</v>
      </c>
      <c r="O8" s="192">
        <f t="shared" ref="O8:O27" si="2">M8*0.92</f>
        <v>1934.30232576</v>
      </c>
      <c r="P8" s="192">
        <f t="shared" ref="P8:P27" si="3">M8*0.1</f>
        <v>210.2502528</v>
      </c>
      <c r="Q8" s="196"/>
      <c r="R8" s="192">
        <f>S8/'Основные характеристики'!D10</f>
        <v>12.020221451355349</v>
      </c>
      <c r="S8" s="192">
        <f t="shared" ref="S8:S22" si="4">M8+N8+O8+P8</f>
        <v>4877.8058649600007</v>
      </c>
      <c r="T8" s="198">
        <f>расчет!R8/12</f>
        <v>1.0016851209462792</v>
      </c>
      <c r="U8" s="192">
        <f>T8*279.4</f>
        <v>279.87082279239036</v>
      </c>
      <c r="V8" s="193">
        <f t="shared" ref="V8:V27" si="5">U8*0.2</f>
        <v>55.974164558478073</v>
      </c>
      <c r="W8" s="193">
        <f t="shared" ref="W8:W27" si="6">U8+V8</f>
        <v>335.84498735086845</v>
      </c>
    </row>
    <row r="9" spans="1:23">
      <c r="A9" s="179"/>
      <c r="B9" s="20"/>
      <c r="C9" s="187"/>
      <c r="D9" s="194"/>
      <c r="E9" s="221"/>
      <c r="F9" s="242"/>
      <c r="G9" s="192"/>
      <c r="H9" s="196"/>
      <c r="I9" s="192"/>
      <c r="J9" s="196"/>
      <c r="K9" s="180"/>
      <c r="L9" s="180"/>
      <c r="M9" s="196"/>
      <c r="N9" s="192"/>
      <c r="O9" s="192"/>
      <c r="P9" s="192"/>
      <c r="Q9" s="196"/>
      <c r="R9" s="192"/>
      <c r="S9" s="192"/>
      <c r="T9" s="198"/>
      <c r="U9" s="192">
        <f t="shared" ref="U9:U24" si="7">T9*279.4</f>
        <v>0</v>
      </c>
      <c r="V9" s="193"/>
      <c r="W9" s="193"/>
    </row>
    <row r="10" spans="1:23">
      <c r="A10" s="179"/>
      <c r="B10" s="20"/>
      <c r="C10" s="187"/>
      <c r="D10" s="194"/>
      <c r="E10" s="220"/>
      <c r="F10" s="242"/>
      <c r="G10" s="192"/>
      <c r="H10" s="196"/>
      <c r="I10" s="192"/>
      <c r="J10" s="196"/>
      <c r="K10" s="180"/>
      <c r="L10" s="180"/>
      <c r="M10" s="196"/>
      <c r="N10" s="192"/>
      <c r="O10" s="192"/>
      <c r="P10" s="192"/>
      <c r="Q10" s="196"/>
      <c r="R10" s="192"/>
      <c r="S10" s="192"/>
      <c r="T10" s="198"/>
      <c r="U10" s="192">
        <f t="shared" si="7"/>
        <v>0</v>
      </c>
      <c r="V10" s="193"/>
      <c r="W10" s="193"/>
    </row>
    <row r="11" spans="1:23">
      <c r="A11" s="179"/>
      <c r="B11" s="20"/>
      <c r="C11" s="187"/>
      <c r="D11" s="194"/>
      <c r="E11" s="220"/>
      <c r="F11" s="242"/>
      <c r="G11" s="192"/>
      <c r="H11" s="196"/>
      <c r="I11" s="192"/>
      <c r="J11" s="196"/>
      <c r="K11" s="180"/>
      <c r="L11" s="180"/>
      <c r="M11" s="196"/>
      <c r="N11" s="192"/>
      <c r="O11" s="192"/>
      <c r="P11" s="192"/>
      <c r="Q11" s="196"/>
      <c r="R11" s="192"/>
      <c r="S11" s="192"/>
      <c r="T11" s="198"/>
      <c r="U11" s="192">
        <f t="shared" si="7"/>
        <v>0</v>
      </c>
      <c r="V11" s="193"/>
      <c r="W11" s="193"/>
    </row>
    <row r="12" spans="1:23">
      <c r="A12" s="179"/>
      <c r="B12" s="20"/>
      <c r="C12" s="187"/>
      <c r="D12" s="194"/>
      <c r="E12" s="221"/>
      <c r="F12" s="242"/>
      <c r="G12" s="192"/>
      <c r="H12" s="196"/>
      <c r="I12" s="192"/>
      <c r="J12" s="196"/>
      <c r="K12" s="180"/>
      <c r="L12" s="180"/>
      <c r="M12" s="196"/>
      <c r="N12" s="192"/>
      <c r="O12" s="192"/>
      <c r="P12" s="192"/>
      <c r="Q12" s="196"/>
      <c r="R12" s="192"/>
      <c r="S12" s="192"/>
      <c r="T12" s="198"/>
      <c r="U12" s="192">
        <f t="shared" si="7"/>
        <v>0</v>
      </c>
      <c r="V12" s="193"/>
      <c r="W12" s="193"/>
    </row>
    <row r="13" spans="1:23" ht="32.25" customHeight="1">
      <c r="A13" s="252"/>
      <c r="B13" s="276" t="s">
        <v>396</v>
      </c>
      <c r="C13" s="277"/>
      <c r="D13" s="277"/>
      <c r="E13" s="277"/>
      <c r="F13" s="277"/>
      <c r="G13" s="277"/>
      <c r="H13" s="253"/>
      <c r="I13" s="200"/>
      <c r="J13" s="253"/>
      <c r="K13" s="254"/>
      <c r="L13" s="254"/>
      <c r="M13" s="253"/>
      <c r="N13" s="200"/>
      <c r="O13" s="199"/>
      <c r="P13" s="199"/>
      <c r="Q13" s="253"/>
      <c r="R13" s="199"/>
      <c r="S13" s="199"/>
      <c r="T13" s="212"/>
      <c r="U13" s="199"/>
      <c r="V13" s="213"/>
      <c r="W13" s="213"/>
    </row>
    <row r="14" spans="1:23" ht="48">
      <c r="A14" s="179"/>
      <c r="B14" s="255" t="s">
        <v>397</v>
      </c>
      <c r="C14" s="256">
        <v>2</v>
      </c>
      <c r="D14" s="256" t="s">
        <v>310</v>
      </c>
      <c r="E14" s="256">
        <v>0.81</v>
      </c>
      <c r="F14" s="256">
        <v>405.8</v>
      </c>
      <c r="G14" s="256">
        <f>(C14*E14*F14)/60</f>
        <v>10.956600000000002</v>
      </c>
      <c r="H14" s="196">
        <v>1.1200000000000001</v>
      </c>
      <c r="I14" s="192">
        <f>G14*H14</f>
        <v>12.271392000000002</v>
      </c>
      <c r="J14" s="196">
        <v>27611.4</v>
      </c>
      <c r="K14" s="180">
        <v>2</v>
      </c>
      <c r="L14" s="180">
        <v>1.0900000000000001</v>
      </c>
      <c r="M14" s="196">
        <f>I14*ФОТ!K6</f>
        <v>2660.4100208780101</v>
      </c>
      <c r="N14" s="192">
        <f>M14*0.3</f>
        <v>798.123006263403</v>
      </c>
      <c r="O14" s="192">
        <f>M14*0.92</f>
        <v>2447.5772192077693</v>
      </c>
      <c r="P14" s="192">
        <f>M14*0.1</f>
        <v>266.04100208780102</v>
      </c>
      <c r="Q14" s="196">
        <f>M14*0.12</f>
        <v>319.24920250536121</v>
      </c>
      <c r="R14" s="192">
        <f>S14/405.8</f>
        <v>15.996551135885522</v>
      </c>
      <c r="S14" s="192">
        <f>SUM(M14:Q14)</f>
        <v>6491.4004509423448</v>
      </c>
      <c r="T14" s="198">
        <f>R14/12</f>
        <v>1.3330459279904601</v>
      </c>
      <c r="U14" s="192"/>
      <c r="V14" s="193"/>
      <c r="W14" s="193"/>
    </row>
    <row r="15" spans="1:23" ht="33" customHeight="1">
      <c r="A15" s="273" t="s">
        <v>137</v>
      </c>
      <c r="B15" s="274"/>
      <c r="C15" s="274"/>
      <c r="D15" s="274"/>
      <c r="E15" s="274"/>
      <c r="F15" s="274"/>
      <c r="G15" s="274"/>
      <c r="H15" s="183"/>
      <c r="I15" s="183"/>
      <c r="J15" s="183"/>
      <c r="K15" s="183"/>
      <c r="L15" s="183"/>
      <c r="M15" s="183"/>
      <c r="N15" s="200"/>
      <c r="O15" s="199"/>
      <c r="P15" s="199"/>
      <c r="Q15" s="183"/>
      <c r="R15" s="199"/>
      <c r="S15" s="199"/>
      <c r="T15" s="212"/>
      <c r="U15" s="192">
        <f t="shared" si="7"/>
        <v>0</v>
      </c>
      <c r="V15" s="213"/>
      <c r="W15" s="213"/>
    </row>
    <row r="16" spans="1:23" ht="38.25">
      <c r="A16" s="179"/>
      <c r="B16" s="214" t="s">
        <v>390</v>
      </c>
      <c r="C16" s="194">
        <v>2</v>
      </c>
      <c r="D16" s="194" t="s">
        <v>310</v>
      </c>
      <c r="E16" s="222">
        <v>3.72</v>
      </c>
      <c r="F16" s="194">
        <v>405.8</v>
      </c>
      <c r="G16" s="196">
        <f>(C16*E16*F16)/60</f>
        <v>50.319200000000002</v>
      </c>
      <c r="H16" s="196">
        <v>1.1200000000000001</v>
      </c>
      <c r="I16" s="196">
        <f>G16*H16</f>
        <v>56.357504000000006</v>
      </c>
      <c r="J16" s="196">
        <f>ФОТ!G5</f>
        <v>32711.4</v>
      </c>
      <c r="K16" s="215">
        <v>2</v>
      </c>
      <c r="L16" s="196">
        <v>1.093</v>
      </c>
      <c r="M16" s="196">
        <f>I16*ФОТ!K6</f>
        <v>12218.179355143451</v>
      </c>
      <c r="N16" s="192">
        <f t="shared" si="1"/>
        <v>3665.4538065430352</v>
      </c>
      <c r="O16" s="192">
        <f t="shared" si="2"/>
        <v>11240.725006731976</v>
      </c>
      <c r="P16" s="192">
        <f t="shared" si="3"/>
        <v>1221.8179355143452</v>
      </c>
      <c r="Q16" s="196"/>
      <c r="R16" s="192">
        <f>S16/'Основные характеристики'!D10</f>
        <v>69.852577880563828</v>
      </c>
      <c r="S16" s="192">
        <f t="shared" si="4"/>
        <v>28346.176103932805</v>
      </c>
      <c r="T16" s="198">
        <f>расчет!R16/12</f>
        <v>5.8210481567136521</v>
      </c>
      <c r="U16" s="192">
        <f t="shared" si="7"/>
        <v>1626.4008549857942</v>
      </c>
      <c r="V16" s="193">
        <f t="shared" si="5"/>
        <v>325.28017099715885</v>
      </c>
      <c r="W16" s="193">
        <f t="shared" si="6"/>
        <v>1951.6810259829531</v>
      </c>
    </row>
    <row r="17" spans="1:23" ht="25.5">
      <c r="A17" s="226"/>
      <c r="B17" s="214" t="s">
        <v>391</v>
      </c>
      <c r="C17" s="194">
        <v>2</v>
      </c>
      <c r="D17" s="194" t="s">
        <v>310</v>
      </c>
      <c r="E17" s="222">
        <v>1.236</v>
      </c>
      <c r="F17" s="194">
        <v>405.8</v>
      </c>
      <c r="G17" s="196">
        <f>(C17*E17*F17)/60</f>
        <v>16.718959999999999</v>
      </c>
      <c r="H17" s="196">
        <v>1.1200000000000001</v>
      </c>
      <c r="I17" s="196">
        <f>G17*H17</f>
        <v>18.7252352</v>
      </c>
      <c r="J17" s="196">
        <f>J16</f>
        <v>32711.4</v>
      </c>
      <c r="K17" s="215">
        <v>2</v>
      </c>
      <c r="L17" s="196">
        <v>1.093</v>
      </c>
      <c r="M17" s="196">
        <f>I17*ФОТ!K7</f>
        <v>4468.1474064175845</v>
      </c>
      <c r="N17" s="192">
        <f t="shared" si="1"/>
        <v>1340.4442219252753</v>
      </c>
      <c r="O17" s="192">
        <f t="shared" si="2"/>
        <v>4110.6956139041777</v>
      </c>
      <c r="P17" s="192">
        <f t="shared" si="3"/>
        <v>446.81474064175848</v>
      </c>
      <c r="Q17" s="196"/>
      <c r="R17" s="192">
        <f>S17/'Основные характеристики'!D10</f>
        <v>25.544854566014777</v>
      </c>
      <c r="S17" s="192">
        <f t="shared" si="4"/>
        <v>10366.101982888797</v>
      </c>
      <c r="T17" s="198">
        <f>расчет!R17/12</f>
        <v>2.1287378805012316</v>
      </c>
      <c r="U17" s="192">
        <f t="shared" si="7"/>
        <v>594.76936381204405</v>
      </c>
      <c r="V17" s="193">
        <f t="shared" si="5"/>
        <v>118.95387276240882</v>
      </c>
      <c r="W17" s="193">
        <f t="shared" si="6"/>
        <v>713.72323657445281</v>
      </c>
    </row>
    <row r="18" spans="1:23" ht="25.5">
      <c r="A18" s="226"/>
      <c r="B18" s="214" t="s">
        <v>319</v>
      </c>
      <c r="C18" s="194">
        <v>1</v>
      </c>
      <c r="D18" s="194" t="s">
        <v>310</v>
      </c>
      <c r="E18" s="222">
        <f>22.2/1000</f>
        <v>2.2200000000000001E-2</v>
      </c>
      <c r="F18" s="194">
        <v>405.8</v>
      </c>
      <c r="G18" s="196">
        <f>(C18*E18*F18)/60</f>
        <v>0.150146</v>
      </c>
      <c r="H18" s="196">
        <v>1.1200000000000001</v>
      </c>
      <c r="I18" s="196">
        <f>G18*H18</f>
        <v>0.16816352000000001</v>
      </c>
      <c r="J18" s="196">
        <f>J17</f>
        <v>32711.4</v>
      </c>
      <c r="K18" s="194">
        <v>3</v>
      </c>
      <c r="L18" s="196">
        <f>ФОТ!H7</f>
        <v>1.2030000000000001</v>
      </c>
      <c r="M18" s="196">
        <f>I18*ФОТ!K7</f>
        <v>40.126566513944326</v>
      </c>
      <c r="N18" s="192">
        <f t="shared" si="1"/>
        <v>12.037969954183298</v>
      </c>
      <c r="O18" s="192">
        <f t="shared" si="2"/>
        <v>36.916441192828785</v>
      </c>
      <c r="P18" s="192">
        <f t="shared" si="3"/>
        <v>4.0126566513944324</v>
      </c>
      <c r="Q18" s="194"/>
      <c r="R18" s="192">
        <f>S18/'Основные характеристики'!D10</f>
        <v>0.22940767450061814</v>
      </c>
      <c r="S18" s="192">
        <f t="shared" si="4"/>
        <v>93.093634312350844</v>
      </c>
      <c r="T18" s="198">
        <f>расчет!R18/12</f>
        <v>1.9117306208384845E-2</v>
      </c>
      <c r="U18" s="192">
        <f t="shared" si="7"/>
        <v>5.3413753546227252</v>
      </c>
      <c r="V18" s="193">
        <f t="shared" si="5"/>
        <v>1.068275070924545</v>
      </c>
      <c r="W18" s="193">
        <f t="shared" si="6"/>
        <v>6.4096504255472704</v>
      </c>
    </row>
    <row r="19" spans="1:23" ht="51.75">
      <c r="A19" s="226"/>
      <c r="B19" s="216" t="s">
        <v>320</v>
      </c>
      <c r="C19" s="194">
        <v>1</v>
      </c>
      <c r="D19" s="194" t="s">
        <v>310</v>
      </c>
      <c r="E19" s="222">
        <f>4.2*60/1000</f>
        <v>0.252</v>
      </c>
      <c r="F19" s="194">
        <v>405.8</v>
      </c>
      <c r="G19" s="196">
        <f t="shared" ref="G19:G24" si="8">(C19*E19*F19)/60</f>
        <v>1.7043600000000001</v>
      </c>
      <c r="H19" s="196">
        <v>1.1200000000000001</v>
      </c>
      <c r="I19" s="196">
        <f t="shared" ref="I19:I27" si="9">G19*H19</f>
        <v>1.9088832000000002</v>
      </c>
      <c r="J19" s="196">
        <f t="shared" ref="J19:J21" si="10">J18</f>
        <v>32711.4</v>
      </c>
      <c r="K19" s="194">
        <v>3</v>
      </c>
      <c r="L19" s="196">
        <f>L18</f>
        <v>1.2030000000000001</v>
      </c>
      <c r="M19" s="196">
        <f>I19*ФОТ!K7</f>
        <v>455.49075502315185</v>
      </c>
      <c r="N19" s="192">
        <f t="shared" si="1"/>
        <v>136.64722650694554</v>
      </c>
      <c r="O19" s="192">
        <f t="shared" si="2"/>
        <v>419.0514946212997</v>
      </c>
      <c r="P19" s="192">
        <f t="shared" si="3"/>
        <v>45.549075502315191</v>
      </c>
      <c r="Q19" s="194"/>
      <c r="R19" s="192">
        <f>S19/'Основные характеристики'!D10</f>
        <v>2.6040871159529626</v>
      </c>
      <c r="S19" s="192">
        <f t="shared" si="4"/>
        <v>1056.7385516537122</v>
      </c>
      <c r="T19" s="198">
        <f>расчет!R19/12</f>
        <v>0.21700725966274689</v>
      </c>
      <c r="U19" s="192">
        <f t="shared" si="7"/>
        <v>60.631828349771475</v>
      </c>
      <c r="V19" s="193">
        <f t="shared" si="5"/>
        <v>12.126365669954296</v>
      </c>
      <c r="W19" s="193">
        <f t="shared" si="6"/>
        <v>72.758194019725778</v>
      </c>
    </row>
    <row r="20" spans="1:23" ht="51.75">
      <c r="A20" s="226"/>
      <c r="B20" s="216" t="s">
        <v>321</v>
      </c>
      <c r="C20" s="194">
        <v>1</v>
      </c>
      <c r="D20" s="194" t="s">
        <v>310</v>
      </c>
      <c r="E20" s="222">
        <f>8*60/1000</f>
        <v>0.48</v>
      </c>
      <c r="F20" s="194">
        <v>405.8</v>
      </c>
      <c r="G20" s="196">
        <f t="shared" si="8"/>
        <v>3.2464</v>
      </c>
      <c r="H20" s="196">
        <v>1.1200000000000001</v>
      </c>
      <c r="I20" s="196">
        <f t="shared" si="9"/>
        <v>3.6359680000000001</v>
      </c>
      <c r="J20" s="196">
        <f t="shared" si="10"/>
        <v>32711.4</v>
      </c>
      <c r="K20" s="194">
        <v>3</v>
      </c>
      <c r="L20" s="196">
        <f t="shared" ref="L20" si="11">L19</f>
        <v>1.2030000000000001</v>
      </c>
      <c r="M20" s="196">
        <f>I20*ФОТ!K7</f>
        <v>867.60143813933678</v>
      </c>
      <c r="N20" s="192">
        <f t="shared" si="1"/>
        <v>260.280431441801</v>
      </c>
      <c r="O20" s="192">
        <f t="shared" si="2"/>
        <v>798.19332308818991</v>
      </c>
      <c r="P20" s="192">
        <f t="shared" si="3"/>
        <v>86.760143813933681</v>
      </c>
      <c r="Q20" s="194"/>
      <c r="R20" s="192">
        <f>S20/'Основные характеристики'!D10</f>
        <v>4.9601659351484999</v>
      </c>
      <c r="S20" s="192">
        <f t="shared" si="4"/>
        <v>2012.8353364832615</v>
      </c>
      <c r="T20" s="198">
        <f>расчет!R20/12</f>
        <v>0.41334716126237497</v>
      </c>
      <c r="U20" s="192">
        <f t="shared" si="7"/>
        <v>115.48919685670757</v>
      </c>
      <c r="V20" s="193">
        <f t="shared" si="5"/>
        <v>23.097839371341514</v>
      </c>
      <c r="W20" s="193">
        <f t="shared" si="6"/>
        <v>138.58703622804907</v>
      </c>
    </row>
    <row r="21" spans="1:23" ht="64.5">
      <c r="A21" s="247"/>
      <c r="B21" s="216" t="s">
        <v>392</v>
      </c>
      <c r="C21" s="194">
        <v>2</v>
      </c>
      <c r="D21" s="194" t="s">
        <v>310</v>
      </c>
      <c r="E21" s="246">
        <v>0.6</v>
      </c>
      <c r="F21" s="194">
        <v>405.8</v>
      </c>
      <c r="G21" s="196">
        <f t="shared" si="8"/>
        <v>8.1159999999999997</v>
      </c>
      <c r="H21" s="196">
        <v>1.1200000000000001</v>
      </c>
      <c r="I21" s="196">
        <f t="shared" si="9"/>
        <v>9.0899200000000011</v>
      </c>
      <c r="J21" s="196">
        <f t="shared" si="10"/>
        <v>32711.4</v>
      </c>
      <c r="K21" s="194">
        <v>1</v>
      </c>
      <c r="L21" s="196">
        <v>1</v>
      </c>
      <c r="M21" s="196">
        <f>I21*ФОТ!K7</f>
        <v>2169.0035953483421</v>
      </c>
      <c r="N21" s="192">
        <f t="shared" si="1"/>
        <v>650.70107860450264</v>
      </c>
      <c r="O21" s="192">
        <f t="shared" si="2"/>
        <v>1995.4833077204748</v>
      </c>
      <c r="P21" s="192">
        <f t="shared" si="3"/>
        <v>216.90035953483422</v>
      </c>
      <c r="Q21" s="194"/>
      <c r="R21" s="192">
        <f>S21/'Основные характеристики'!D10</f>
        <v>12.400414837871251</v>
      </c>
      <c r="S21" s="192">
        <f t="shared" si="4"/>
        <v>5032.0883412081539</v>
      </c>
      <c r="T21" s="198">
        <f>расчет!R21/12</f>
        <v>1.0333679031559375</v>
      </c>
      <c r="U21" s="192">
        <f t="shared" si="7"/>
        <v>288.72299214176894</v>
      </c>
      <c r="V21" s="193">
        <f t="shared" si="5"/>
        <v>57.74459842835379</v>
      </c>
      <c r="W21" s="193">
        <f t="shared" si="6"/>
        <v>346.46759057012275</v>
      </c>
    </row>
    <row r="22" spans="1:23" ht="51.75">
      <c r="A22" s="226"/>
      <c r="B22" s="244" t="s">
        <v>386</v>
      </c>
      <c r="C22" s="194">
        <v>1</v>
      </c>
      <c r="D22" s="194" t="s">
        <v>359</v>
      </c>
      <c r="E22" s="222">
        <f>(60*60)/100</f>
        <v>36</v>
      </c>
      <c r="F22" s="194">
        <v>10</v>
      </c>
      <c r="G22" s="196">
        <f t="shared" si="8"/>
        <v>6</v>
      </c>
      <c r="H22" s="196">
        <v>1.1200000000000001</v>
      </c>
      <c r="I22" s="196">
        <f t="shared" si="9"/>
        <v>6.7200000000000006</v>
      </c>
      <c r="J22" s="196">
        <f>J21</f>
        <v>32711.4</v>
      </c>
      <c r="K22" s="194">
        <v>3</v>
      </c>
      <c r="L22" s="196">
        <f>L21</f>
        <v>1</v>
      </c>
      <c r="M22" s="196">
        <f>I22*ФОТ!K7</f>
        <v>1603.501918690248</v>
      </c>
      <c r="N22" s="192">
        <f t="shared" si="1"/>
        <v>481.05057560707439</v>
      </c>
      <c r="O22" s="192">
        <f t="shared" si="2"/>
        <v>1475.2217651950282</v>
      </c>
      <c r="P22" s="192">
        <f t="shared" si="3"/>
        <v>160.3501918690248</v>
      </c>
      <c r="Q22" s="194"/>
      <c r="R22" s="192">
        <f>S22/'Основные характеристики'!D10</f>
        <v>9.1673840595401064</v>
      </c>
      <c r="S22" s="192">
        <f t="shared" si="4"/>
        <v>3720.1244513613756</v>
      </c>
      <c r="T22" s="198">
        <f>расчет!R22/12</f>
        <v>0.76394867162834224</v>
      </c>
      <c r="U22" s="192">
        <f t="shared" si="7"/>
        <v>213.44725885295881</v>
      </c>
      <c r="V22" s="193">
        <f t="shared" si="5"/>
        <v>42.689451770591766</v>
      </c>
      <c r="W22" s="193">
        <f t="shared" si="6"/>
        <v>256.13671062355058</v>
      </c>
    </row>
    <row r="23" spans="1:23">
      <c r="A23" s="179"/>
      <c r="B23" s="216" t="s">
        <v>378</v>
      </c>
      <c r="C23" s="194">
        <v>1</v>
      </c>
      <c r="D23" s="194" t="s">
        <v>310</v>
      </c>
      <c r="E23" s="222">
        <f>4.2*60/1000</f>
        <v>0.252</v>
      </c>
      <c r="F23" s="194">
        <v>405.8</v>
      </c>
      <c r="G23" s="196">
        <f t="shared" si="8"/>
        <v>1.7043600000000001</v>
      </c>
      <c r="H23" s="196">
        <v>1.1200000000000001</v>
      </c>
      <c r="I23" s="196">
        <f t="shared" si="9"/>
        <v>1.9088832000000002</v>
      </c>
      <c r="J23" s="196">
        <f t="shared" ref="J23:J24" si="12">J22</f>
        <v>32711.4</v>
      </c>
      <c r="K23" s="194">
        <v>2</v>
      </c>
      <c r="L23" s="196">
        <f>ФОТ!H6</f>
        <v>1.093</v>
      </c>
      <c r="M23" s="196">
        <f>I23*ФОТ!K6</f>
        <v>413.84155880324596</v>
      </c>
      <c r="N23" s="192">
        <f t="shared" si="1"/>
        <v>124.15246764097378</v>
      </c>
      <c r="O23" s="192">
        <f t="shared" si="2"/>
        <v>380.73423409898629</v>
      </c>
      <c r="P23" s="192">
        <f t="shared" si="3"/>
        <v>41.384155880324599</v>
      </c>
      <c r="Q23" s="196">
        <f>M23*0.12</f>
        <v>49.660987056389516</v>
      </c>
      <c r="R23" s="192">
        <f>S23/'Основные характеристики'!D10</f>
        <v>2.4883523989155254</v>
      </c>
      <c r="S23" s="192">
        <f>M23+N23+O23+P23+Q23</f>
        <v>1009.7734034799201</v>
      </c>
      <c r="T23" s="198">
        <f>расчет!R23/12</f>
        <v>0.20736269990962711</v>
      </c>
      <c r="U23" s="192">
        <f t="shared" si="7"/>
        <v>57.937138354749806</v>
      </c>
      <c r="V23" s="193">
        <f t="shared" si="5"/>
        <v>11.587427670949962</v>
      </c>
      <c r="W23" s="193">
        <f t="shared" si="6"/>
        <v>69.52456602569977</v>
      </c>
    </row>
    <row r="24" spans="1:23">
      <c r="A24" s="179"/>
      <c r="B24" s="245" t="s">
        <v>379</v>
      </c>
      <c r="C24" s="194">
        <v>1</v>
      </c>
      <c r="D24" s="194" t="s">
        <v>310</v>
      </c>
      <c r="E24" s="222">
        <f>5*60/1000</f>
        <v>0.3</v>
      </c>
      <c r="F24" s="194">
        <v>405.8</v>
      </c>
      <c r="G24" s="196">
        <f t="shared" si="8"/>
        <v>2.0289999999999999</v>
      </c>
      <c r="H24" s="196">
        <v>1.1200000000000001</v>
      </c>
      <c r="I24" s="196">
        <f t="shared" si="9"/>
        <v>2.2724800000000003</v>
      </c>
      <c r="J24" s="196">
        <f t="shared" si="12"/>
        <v>32711.4</v>
      </c>
      <c r="K24" s="194">
        <v>2</v>
      </c>
      <c r="L24" s="196">
        <f>L23</f>
        <v>1.093</v>
      </c>
      <c r="M24" s="196">
        <f>I24*ФОТ!K6</f>
        <v>492.66852238481658</v>
      </c>
      <c r="N24" s="192">
        <f t="shared" si="1"/>
        <v>147.80055671544497</v>
      </c>
      <c r="O24" s="192">
        <f t="shared" si="2"/>
        <v>453.2550405940313</v>
      </c>
      <c r="P24" s="192">
        <f t="shared" si="3"/>
        <v>49.266852238481661</v>
      </c>
      <c r="Q24" s="196">
        <f>M24*0.12</f>
        <v>59.120222686177989</v>
      </c>
      <c r="R24" s="192">
        <f>S24/'Основные характеристики'!D10</f>
        <v>2.9623242844232442</v>
      </c>
      <c r="S24" s="192">
        <f>M24+N24+O24+P24+Q24</f>
        <v>1202.1111946189526</v>
      </c>
      <c r="T24" s="198">
        <f>расчет!R24/12</f>
        <v>0.24686035703527034</v>
      </c>
      <c r="U24" s="192">
        <f t="shared" si="7"/>
        <v>68.972783755654532</v>
      </c>
      <c r="V24" s="193">
        <f t="shared" si="5"/>
        <v>13.794556751130907</v>
      </c>
      <c r="W24" s="193">
        <f t="shared" si="6"/>
        <v>82.767340506785445</v>
      </c>
    </row>
    <row r="25" spans="1:23">
      <c r="A25" s="226"/>
      <c r="B25" s="248" t="s">
        <v>388</v>
      </c>
      <c r="C25" s="195"/>
      <c r="D25" s="195"/>
      <c r="E25" s="249"/>
      <c r="F25" s="249"/>
      <c r="G25" s="197"/>
      <c r="H25" s="249"/>
      <c r="I25" s="197"/>
      <c r="J25" s="197"/>
      <c r="K25" s="249"/>
      <c r="L25" s="249"/>
      <c r="M25" s="197"/>
      <c r="N25" s="198"/>
      <c r="O25" s="198"/>
      <c r="P25" s="198"/>
      <c r="Q25" s="196"/>
      <c r="R25" s="198"/>
      <c r="S25" s="192">
        <f>432.93*30</f>
        <v>12987.9</v>
      </c>
      <c r="T25" s="202">
        <f>S25/405.8/12</f>
        <v>2.6671389847215377</v>
      </c>
      <c r="U25" s="198"/>
      <c r="V25" s="250"/>
      <c r="W25" s="250"/>
    </row>
    <row r="26" spans="1:23">
      <c r="A26" s="179"/>
      <c r="B26" s="233" t="s">
        <v>387</v>
      </c>
      <c r="C26" s="194"/>
      <c r="D26" s="194"/>
      <c r="E26" s="173"/>
      <c r="F26" s="173"/>
      <c r="G26" s="196"/>
      <c r="H26" s="173"/>
      <c r="I26" s="196"/>
      <c r="J26" s="196"/>
      <c r="K26" s="173"/>
      <c r="L26" s="173"/>
      <c r="M26" s="196"/>
      <c r="N26" s="192"/>
      <c r="O26" s="192"/>
      <c r="P26" s="192"/>
      <c r="Q26" s="196"/>
      <c r="R26" s="192"/>
      <c r="S26" s="192"/>
      <c r="T26" s="202"/>
      <c r="U26" s="192"/>
      <c r="V26" s="193"/>
      <c r="W26" s="193"/>
    </row>
    <row r="27" spans="1:23" ht="26.25">
      <c r="A27" s="179"/>
      <c r="B27" s="245" t="s">
        <v>394</v>
      </c>
      <c r="C27" s="194">
        <v>1</v>
      </c>
      <c r="D27" s="194" t="s">
        <v>310</v>
      </c>
      <c r="E27" s="173">
        <v>111</v>
      </c>
      <c r="F27" s="173">
        <v>5</v>
      </c>
      <c r="G27" s="196">
        <f>(C27*E27*F27)/60</f>
        <v>9.25</v>
      </c>
      <c r="H27" s="173">
        <v>1.1200000000000001</v>
      </c>
      <c r="I27" s="196">
        <f t="shared" si="9"/>
        <v>10.360000000000001</v>
      </c>
      <c r="J27" s="196">
        <v>27611.4</v>
      </c>
      <c r="K27" s="173">
        <v>3</v>
      </c>
      <c r="L27" s="173">
        <v>1.2030000000000001</v>
      </c>
      <c r="M27" s="196">
        <f>I27*ФОТ!K9</f>
        <v>3158.407821210712</v>
      </c>
      <c r="N27" s="192">
        <f t="shared" si="1"/>
        <v>947.5223463632135</v>
      </c>
      <c r="O27" s="192">
        <f t="shared" si="2"/>
        <v>2905.7351955138552</v>
      </c>
      <c r="P27" s="192">
        <f t="shared" si="3"/>
        <v>315.84078212107124</v>
      </c>
      <c r="Q27" s="196">
        <f t="shared" ref="Q27" si="13">M27*0.12</f>
        <v>379.00893854528545</v>
      </c>
      <c r="R27" s="192">
        <f>S27/'Основные характеристики'!D10</f>
        <v>18.990919378398566</v>
      </c>
      <c r="S27" s="192">
        <f t="shared" ref="S27" si="14">M27+N27+O27+P27+Q27</f>
        <v>7706.5150837541378</v>
      </c>
      <c r="T27" s="198">
        <f>R27/12</f>
        <v>1.5825766148665472</v>
      </c>
      <c r="U27" s="192">
        <f t="shared" ref="U27" si="15">T27*762.3</f>
        <v>1206.3981535127689</v>
      </c>
      <c r="V27" s="193">
        <f t="shared" si="5"/>
        <v>241.27963070255379</v>
      </c>
      <c r="W27" s="193">
        <f t="shared" si="6"/>
        <v>1447.6777842153226</v>
      </c>
    </row>
    <row r="28" spans="1:23">
      <c r="A28" s="179"/>
      <c r="B28" s="245"/>
      <c r="C28" s="194"/>
      <c r="D28" s="194"/>
      <c r="E28" s="173"/>
      <c r="F28" s="173"/>
      <c r="G28" s="196"/>
      <c r="H28" s="173"/>
      <c r="I28" s="196"/>
      <c r="J28" s="196"/>
      <c r="K28" s="173"/>
      <c r="L28" s="173"/>
      <c r="M28" s="196"/>
      <c r="N28" s="192"/>
      <c r="O28" s="192"/>
      <c r="P28" s="192"/>
      <c r="Q28" s="196"/>
      <c r="R28" s="192"/>
      <c r="S28" s="192"/>
      <c r="T28" s="198"/>
      <c r="U28" s="192"/>
      <c r="V28" s="193"/>
      <c r="W28" s="193"/>
    </row>
    <row r="29" spans="1:23">
      <c r="A29" s="179"/>
      <c r="B29" s="245"/>
      <c r="C29" s="194"/>
      <c r="D29" s="194"/>
      <c r="E29" s="173"/>
      <c r="F29" s="173"/>
      <c r="G29" s="196"/>
      <c r="H29" s="173"/>
      <c r="I29" s="196"/>
      <c r="J29" s="196"/>
      <c r="K29" s="173"/>
      <c r="L29" s="173"/>
      <c r="M29" s="196"/>
      <c r="N29" s="192"/>
      <c r="O29" s="192"/>
      <c r="P29" s="192"/>
      <c r="Q29" s="196"/>
      <c r="R29" s="192"/>
      <c r="S29" s="192"/>
      <c r="T29" s="198">
        <f>SUM(T27:T28)</f>
        <v>1.5825766148665472</v>
      </c>
      <c r="U29" s="192"/>
      <c r="V29" s="193"/>
      <c r="W29" s="193"/>
    </row>
    <row r="30" spans="1:23">
      <c r="A30" s="179"/>
      <c r="B30" s="24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9"/>
      <c r="W30" s="179"/>
    </row>
    <row r="31" spans="1:23">
      <c r="T31" s="229">
        <f>SUM(T8:T30)</f>
        <v>19.017820659468939</v>
      </c>
    </row>
    <row r="32" spans="1:23">
      <c r="B32" t="s">
        <v>399</v>
      </c>
    </row>
    <row r="33" spans="2:23" ht="19.5" customHeight="1">
      <c r="B33" t="s">
        <v>350</v>
      </c>
    </row>
    <row r="34" spans="2:23" ht="20.25" customHeight="1">
      <c r="B34" s="217" t="s">
        <v>349</v>
      </c>
    </row>
    <row r="35" spans="2:23">
      <c r="B35" s="275" t="s">
        <v>351</v>
      </c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5"/>
      <c r="Q35" s="275"/>
      <c r="R35" s="275"/>
      <c r="S35" s="275"/>
      <c r="T35" s="275"/>
      <c r="U35" s="275"/>
      <c r="V35" s="275"/>
      <c r="W35" s="275"/>
    </row>
    <row r="36" spans="2:23">
      <c r="B36" s="270" t="s">
        <v>352</v>
      </c>
      <c r="C36" s="270"/>
      <c r="D36" s="270"/>
      <c r="E36" s="270"/>
      <c r="F36" s="270"/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0"/>
      <c r="T36" s="270"/>
      <c r="U36" s="270"/>
      <c r="V36" s="270"/>
      <c r="W36" s="270"/>
    </row>
    <row r="37" spans="2:23" ht="15.75" customHeight="1">
      <c r="B37" t="s">
        <v>353</v>
      </c>
    </row>
    <row r="38" spans="2:23">
      <c r="B38" s="217" t="s">
        <v>354</v>
      </c>
    </row>
    <row r="39" spans="2:23" ht="16.5" customHeight="1">
      <c r="B39" s="271" t="s">
        <v>355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271"/>
      <c r="V39" s="271"/>
      <c r="W39" s="271"/>
    </row>
    <row r="40" spans="2:23">
      <c r="B40" s="219" t="s">
        <v>349</v>
      </c>
    </row>
    <row r="41" spans="2:23">
      <c r="B41" s="271" t="s">
        <v>356</v>
      </c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71"/>
      <c r="T41" s="271"/>
      <c r="U41" s="271"/>
      <c r="V41" s="271"/>
      <c r="W41" s="271"/>
    </row>
    <row r="42" spans="2:23">
      <c r="B42" t="s">
        <v>357</v>
      </c>
    </row>
    <row r="43" spans="2:23">
      <c r="B43" s="217" t="s">
        <v>358</v>
      </c>
    </row>
    <row r="44" spans="2:23">
      <c r="B44" s="269" t="s">
        <v>362</v>
      </c>
      <c r="C44" s="269"/>
      <c r="D44" s="269"/>
      <c r="E44" s="269"/>
      <c r="F44" s="269"/>
      <c r="G44" s="269"/>
      <c r="H44" s="269"/>
      <c r="I44" s="269"/>
      <c r="J44" s="269"/>
      <c r="K44" s="269"/>
      <c r="L44" s="269"/>
      <c r="M44" s="269"/>
      <c r="N44" s="269"/>
      <c r="O44" s="269"/>
      <c r="P44" s="269"/>
      <c r="Q44" s="269"/>
      <c r="R44" s="269"/>
      <c r="S44" s="269"/>
      <c r="T44" s="269"/>
      <c r="U44" s="269"/>
      <c r="V44" s="269"/>
      <c r="W44" s="269"/>
    </row>
    <row r="45" spans="2:23" ht="15.75">
      <c r="B45" s="237"/>
    </row>
    <row r="47" spans="2:23">
      <c r="B47" s="218"/>
    </row>
    <row r="49" spans="2:2">
      <c r="B49" s="218"/>
    </row>
  </sheetData>
  <mergeCells count="8">
    <mergeCell ref="B44:W44"/>
    <mergeCell ref="B36:W36"/>
    <mergeCell ref="B39:W39"/>
    <mergeCell ref="B41:W41"/>
    <mergeCell ref="B6:F6"/>
    <mergeCell ref="A15:G15"/>
    <mergeCell ref="B35:W35"/>
    <mergeCell ref="B13:G13"/>
  </mergeCells>
  <hyperlinks>
    <hyperlink ref="B34" r:id="rId1" location="100015" display="https://legalacts.ru/doc/rekomendatsii-po-normirovaniiu-materialnykh-resursov-na-soderzhanie-i-remont_1/ - 100015"/>
    <hyperlink ref="B38" r:id="rId2" display="https://cnis.ru/shop/article/108"/>
    <hyperlink ref="B43" r:id="rId3" display="https://sudact.ru/law/prikaz-minzhilkomkhoza-rsfsr-ot-20091983-n-454/normativy-chislennosti-rabotnikov-dezhurnoi-remontnoi/"/>
  </hyperlinks>
  <pageMargins left="0.7" right="0.7" top="0.75" bottom="0.75" header="0.3" footer="0.3"/>
  <pageSetup paperSize="9" orientation="portrait" r:id="rId4"/>
  <legacy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3:K25"/>
  <sheetViews>
    <sheetView workbookViewId="0">
      <selection activeCell="I12" sqref="I12"/>
    </sheetView>
  </sheetViews>
  <sheetFormatPr defaultRowHeight="15"/>
  <cols>
    <col min="3" max="3" width="9.140625" customWidth="1"/>
    <col min="4" max="4" width="24" customWidth="1"/>
    <col min="5" max="5" width="21" customWidth="1"/>
    <col min="6" max="7" width="12.7109375" customWidth="1"/>
    <col min="8" max="8" width="12.28515625" customWidth="1"/>
    <col min="10" max="10" width="10.42578125" customWidth="1"/>
    <col min="11" max="11" width="12.7109375" customWidth="1"/>
  </cols>
  <sheetData>
    <row r="3" spans="3:11">
      <c r="C3" s="177" t="s">
        <v>322</v>
      </c>
      <c r="I3">
        <v>5475</v>
      </c>
      <c r="J3" t="s">
        <v>331</v>
      </c>
    </row>
    <row r="5" spans="3:11" ht="51">
      <c r="C5" s="181" t="s">
        <v>92</v>
      </c>
      <c r="D5" s="181" t="s">
        <v>323</v>
      </c>
      <c r="E5" s="182" t="s">
        <v>330</v>
      </c>
      <c r="F5" s="22" t="s">
        <v>79</v>
      </c>
      <c r="G5" s="22" t="s">
        <v>332</v>
      </c>
      <c r="H5" s="22" t="s">
        <v>333</v>
      </c>
      <c r="I5" s="22" t="s">
        <v>76</v>
      </c>
      <c r="J5" s="22" t="s">
        <v>334</v>
      </c>
      <c r="K5" s="22" t="s">
        <v>73</v>
      </c>
    </row>
    <row r="6" spans="3:11">
      <c r="C6" s="179">
        <v>1</v>
      </c>
      <c r="D6" s="203" t="s">
        <v>324</v>
      </c>
      <c r="E6" s="179"/>
      <c r="F6" s="179"/>
      <c r="G6" s="179"/>
      <c r="H6" s="179"/>
      <c r="I6" s="179"/>
      <c r="J6" s="179"/>
      <c r="K6" s="204">
        <f>K7+K8+K9+K10+K11</f>
        <v>6078226.032648813</v>
      </c>
    </row>
    <row r="7" spans="3:11">
      <c r="C7" s="179"/>
      <c r="D7" s="179" t="s">
        <v>325</v>
      </c>
      <c r="E7" s="170">
        <v>1.2</v>
      </c>
      <c r="F7" s="179">
        <f>I3*E7</f>
        <v>6570</v>
      </c>
      <c r="G7" s="179">
        <v>1.1200000000000001</v>
      </c>
      <c r="H7" s="179">
        <f>F7*G7</f>
        <v>7358.4000000000005</v>
      </c>
      <c r="I7" s="170">
        <v>3</v>
      </c>
      <c r="J7" s="205">
        <f>ФОТ!K7</f>
        <v>238.61635694795353</v>
      </c>
      <c r="K7" s="206">
        <f>F7*J7</f>
        <v>1567709.4651480548</v>
      </c>
    </row>
    <row r="8" spans="3:11">
      <c r="C8" s="179"/>
      <c r="D8" s="179" t="s">
        <v>326</v>
      </c>
      <c r="E8" s="170">
        <v>0.6</v>
      </c>
      <c r="F8" s="179">
        <f>I3*E8</f>
        <v>3285</v>
      </c>
      <c r="G8" s="179">
        <v>1.1200000000000001</v>
      </c>
      <c r="H8" s="179">
        <f t="shared" ref="H8:H11" si="0">F8*G8</f>
        <v>3679.2000000000003</v>
      </c>
      <c r="I8" s="170">
        <v>2</v>
      </c>
      <c r="J8" s="205">
        <f>ФОТ!K6</f>
        <v>216.7977374431531</v>
      </c>
      <c r="K8" s="206">
        <f t="shared" ref="K8:K11" si="1">F8*J8</f>
        <v>712180.56750075787</v>
      </c>
    </row>
    <row r="9" spans="3:11">
      <c r="C9" s="179"/>
      <c r="D9" s="179" t="s">
        <v>327</v>
      </c>
      <c r="E9" s="170">
        <v>0.6</v>
      </c>
      <c r="F9" s="179">
        <f>I3*E9</f>
        <v>3285</v>
      </c>
      <c r="G9" s="179">
        <v>1.1200000000000001</v>
      </c>
      <c r="H9" s="179">
        <f t="shared" si="0"/>
        <v>3679.2000000000003</v>
      </c>
      <c r="I9" s="170">
        <v>2</v>
      </c>
      <c r="J9" s="205">
        <v>216.8</v>
      </c>
      <c r="K9" s="206">
        <f t="shared" si="1"/>
        <v>712188</v>
      </c>
    </row>
    <row r="10" spans="3:11">
      <c r="C10" s="179"/>
      <c r="D10" s="179" t="s">
        <v>328</v>
      </c>
      <c r="E10" s="170">
        <v>0.6</v>
      </c>
      <c r="F10" s="179">
        <f>I3*E10</f>
        <v>3285</v>
      </c>
      <c r="G10" s="179">
        <v>1.1200000000000001</v>
      </c>
      <c r="H10" s="179">
        <f t="shared" si="0"/>
        <v>3679.2000000000003</v>
      </c>
      <c r="I10" s="170">
        <v>2</v>
      </c>
      <c r="J10" s="205">
        <v>216.8</v>
      </c>
      <c r="K10" s="206">
        <f t="shared" si="1"/>
        <v>712188</v>
      </c>
    </row>
    <row r="11" spans="3:11">
      <c r="C11" s="179"/>
      <c r="D11" s="179" t="s">
        <v>329</v>
      </c>
      <c r="E11" s="170">
        <v>2</v>
      </c>
      <c r="F11" s="179">
        <f>I3*E11</f>
        <v>10950</v>
      </c>
      <c r="G11" s="179">
        <v>1.1200000000000001</v>
      </c>
      <c r="H11" s="179">
        <f t="shared" si="0"/>
        <v>12264.000000000002</v>
      </c>
      <c r="I11" s="170">
        <v>2</v>
      </c>
      <c r="J11" s="205">
        <v>216.8</v>
      </c>
      <c r="K11" s="206">
        <f t="shared" si="1"/>
        <v>2373960</v>
      </c>
    </row>
    <row r="12" spans="3:11">
      <c r="C12" s="179">
        <v>2</v>
      </c>
      <c r="D12" s="203" t="s">
        <v>72</v>
      </c>
      <c r="E12" s="207">
        <v>0.3</v>
      </c>
      <c r="F12" s="179"/>
      <c r="G12" s="179">
        <v>1.1200000000000001</v>
      </c>
      <c r="H12" s="179"/>
      <c r="I12" s="179"/>
      <c r="J12" s="179"/>
      <c r="K12" s="204">
        <f>K6*E12</f>
        <v>1823467.8097946439</v>
      </c>
    </row>
    <row r="13" spans="3:11">
      <c r="C13" s="179">
        <v>3</v>
      </c>
      <c r="D13" s="203" t="s">
        <v>335</v>
      </c>
      <c r="E13" s="175">
        <v>0.12</v>
      </c>
      <c r="F13" s="179"/>
      <c r="G13" s="179"/>
      <c r="H13" s="179"/>
      <c r="I13" s="179"/>
      <c r="J13" s="179"/>
      <c r="K13" s="208">
        <f>K6*E13</f>
        <v>729387.12391785753</v>
      </c>
    </row>
    <row r="14" spans="3:11">
      <c r="C14" s="179">
        <v>4</v>
      </c>
      <c r="D14" s="203" t="s">
        <v>336</v>
      </c>
      <c r="E14" s="175">
        <v>0.2</v>
      </c>
      <c r="F14" s="179">
        <f>F10*0.2</f>
        <v>657</v>
      </c>
      <c r="G14" s="179"/>
      <c r="H14" s="179"/>
      <c r="I14" s="179"/>
      <c r="J14" s="179">
        <v>959.86</v>
      </c>
      <c r="K14" s="203">
        <f>F14*J14</f>
        <v>630628.02</v>
      </c>
    </row>
    <row r="15" spans="3:11">
      <c r="C15" s="179">
        <v>5</v>
      </c>
      <c r="D15" s="203" t="s">
        <v>337</v>
      </c>
      <c r="E15" s="175">
        <v>0.7</v>
      </c>
      <c r="F15" s="179"/>
      <c r="G15" s="179"/>
      <c r="H15" s="179"/>
      <c r="I15" s="179"/>
      <c r="J15" s="179"/>
      <c r="K15" s="203">
        <f>K6*E15</f>
        <v>4254758.2228541691</v>
      </c>
    </row>
    <row r="16" spans="3:11">
      <c r="C16" s="179">
        <v>6</v>
      </c>
      <c r="D16" s="203" t="s">
        <v>338</v>
      </c>
      <c r="E16" s="175">
        <v>0.1</v>
      </c>
      <c r="F16" s="179"/>
      <c r="G16" s="179"/>
      <c r="H16" s="179"/>
      <c r="I16" s="179"/>
      <c r="J16" s="179"/>
      <c r="K16" s="203">
        <f>K6*E16</f>
        <v>607822.6032648813</v>
      </c>
    </row>
    <row r="17" spans="3:11">
      <c r="C17" s="179">
        <v>7</v>
      </c>
      <c r="D17" s="203" t="s">
        <v>339</v>
      </c>
      <c r="E17" s="179"/>
      <c r="F17" s="179"/>
      <c r="G17" s="179"/>
      <c r="H17" s="179"/>
      <c r="I17" s="179"/>
      <c r="J17" s="179"/>
      <c r="K17" s="204">
        <f>K6+K12+K13+K14+K15+K16</f>
        <v>14124289.812480364</v>
      </c>
    </row>
    <row r="18" spans="3:11" ht="45">
      <c r="C18" s="179"/>
      <c r="D18" s="209" t="s">
        <v>340</v>
      </c>
      <c r="E18" s="210">
        <v>225000</v>
      </c>
      <c r="F18" s="179"/>
      <c r="G18" s="179"/>
      <c r="H18" s="179"/>
      <c r="I18" s="179"/>
      <c r="J18" s="179"/>
      <c r="K18" s="179"/>
    </row>
    <row r="19" spans="3:11">
      <c r="C19" s="179"/>
      <c r="D19" s="203" t="s">
        <v>342</v>
      </c>
      <c r="E19" s="175">
        <v>0.2</v>
      </c>
      <c r="F19" s="179"/>
      <c r="G19" s="179"/>
      <c r="H19" s="179"/>
      <c r="I19" s="179"/>
      <c r="J19" s="179"/>
      <c r="K19" s="209">
        <f>K17*1.2</f>
        <v>16949147.774976436</v>
      </c>
    </row>
    <row r="20" spans="3:11" ht="29.25">
      <c r="C20" s="179"/>
      <c r="D20" s="211" t="s">
        <v>341</v>
      </c>
      <c r="E20" s="179"/>
      <c r="F20" s="179"/>
      <c r="G20" s="179"/>
      <c r="H20" s="179"/>
      <c r="I20" s="179"/>
      <c r="J20" s="179"/>
      <c r="K20" s="208">
        <f>K19/E18/12</f>
        <v>6.2774621388801615</v>
      </c>
    </row>
    <row r="25" spans="3:11">
      <c r="D25" s="176" t="s">
        <v>361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B4" sqref="B4:E12"/>
    </sheetView>
  </sheetViews>
  <sheetFormatPr defaultRowHeight="15"/>
  <cols>
    <col min="3" max="3" width="42.85546875" customWidth="1"/>
    <col min="4" max="4" width="19" customWidth="1"/>
    <col min="5" max="5" width="22.28515625" customWidth="1"/>
  </cols>
  <sheetData>
    <row r="2" spans="2:5">
      <c r="C2" s="176" t="s">
        <v>401</v>
      </c>
      <c r="E2" s="176">
        <v>405.8</v>
      </c>
    </row>
    <row r="3" spans="2:5" ht="45">
      <c r="B3" s="224" t="s">
        <v>92</v>
      </c>
      <c r="C3" s="184" t="s">
        <v>308</v>
      </c>
      <c r="D3" s="184" t="s">
        <v>343</v>
      </c>
      <c r="E3" s="184" t="s">
        <v>344</v>
      </c>
    </row>
    <row r="4" spans="2:5">
      <c r="B4" s="179">
        <v>1</v>
      </c>
      <c r="C4" s="232" t="s">
        <v>50</v>
      </c>
      <c r="D4" s="201">
        <f>расчет!S8</f>
        <v>4877.8058649600007</v>
      </c>
      <c r="E4" s="201">
        <f>расчет!T8</f>
        <v>1.0016851209462792</v>
      </c>
    </row>
    <row r="5" spans="2:5" ht="88.5" customHeight="1">
      <c r="B5" s="258">
        <v>2</v>
      </c>
      <c r="C5" s="257" t="s">
        <v>398</v>
      </c>
      <c r="D5" s="201"/>
      <c r="E5" s="201">
        <f>расчет!T14</f>
        <v>1.3330459279904601</v>
      </c>
    </row>
    <row r="6" spans="2:5" ht="51.75">
      <c r="B6" s="179">
        <v>3</v>
      </c>
      <c r="C6" s="233" t="s">
        <v>345</v>
      </c>
      <c r="D6" s="201">
        <f>расчет!S16+расчет!S17+расчет!S18+расчет!S19+расчет!S20+расчет!S21+расчет!S22</f>
        <v>50627.158401840454</v>
      </c>
      <c r="E6" s="201">
        <f>расчет!T16+расчет!T17+расчет!T18+расчет!T19+расчет!T20+расчет!T21+расчет!T22</f>
        <v>10.39657433913267</v>
      </c>
    </row>
    <row r="7" spans="2:5">
      <c r="B7" s="258">
        <v>4</v>
      </c>
      <c r="C7" s="230" t="s">
        <v>346</v>
      </c>
      <c r="D7" s="223"/>
      <c r="E7" s="201">
        <f>АДС!K20</f>
        <v>6.2774621388801615</v>
      </c>
    </row>
    <row r="8" spans="2:5">
      <c r="B8" s="179">
        <v>5</v>
      </c>
      <c r="C8" s="230" t="s">
        <v>347</v>
      </c>
      <c r="D8" s="180"/>
      <c r="E8" s="201">
        <f>расчет!T24+расчет!T23</f>
        <v>0.45422305694489745</v>
      </c>
    </row>
    <row r="9" spans="2:5">
      <c r="B9" s="258">
        <v>6</v>
      </c>
      <c r="C9" s="230" t="s">
        <v>388</v>
      </c>
      <c r="D9" s="180"/>
      <c r="E9" s="201">
        <f>расчет!T25</f>
        <v>2.6671389847215377</v>
      </c>
    </row>
    <row r="10" spans="2:5">
      <c r="B10" s="179">
        <v>7</v>
      </c>
      <c r="C10" s="231" t="s">
        <v>389</v>
      </c>
      <c r="D10" s="234"/>
      <c r="E10" s="235"/>
    </row>
    <row r="11" spans="2:5">
      <c r="B11" s="258">
        <v>8</v>
      </c>
      <c r="C11" s="232" t="s">
        <v>348</v>
      </c>
      <c r="D11" s="236"/>
      <c r="E11" s="201">
        <f>Управление!N22</f>
        <v>2.9432074299263999</v>
      </c>
    </row>
    <row r="12" spans="2:5">
      <c r="B12" s="179">
        <v>9</v>
      </c>
      <c r="C12" s="179" t="s">
        <v>387</v>
      </c>
      <c r="D12" s="179"/>
      <c r="E12" s="251">
        <f>SUM(расчет!T27:T28)</f>
        <v>1.5825766148665472</v>
      </c>
    </row>
    <row r="13" spans="2:5">
      <c r="E13" s="229">
        <f>SUM(E4:E12)</f>
        <v>26.655913613408952</v>
      </c>
    </row>
    <row r="14" spans="2:5">
      <c r="E14" s="229"/>
    </row>
    <row r="15" spans="2:5">
      <c r="E15" s="229"/>
    </row>
  </sheetData>
  <pageMargins left="0.7" right="0.7" top="0.75" bottom="0.75" header="0.3" footer="0.3"/>
  <pageSetup paperSize="9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Пример расчета</vt:lpstr>
      <vt:lpstr>ФОТ</vt:lpstr>
      <vt:lpstr>Управление</vt:lpstr>
      <vt:lpstr>Основные характеристики</vt:lpstr>
      <vt:lpstr>расчет</vt:lpstr>
      <vt:lpstr>АДС</vt:lpstr>
      <vt:lpstr>Сводная</vt:lpstr>
      <vt:lpstr>'Пример расчета'!Заголовки_для_печати</vt:lpstr>
      <vt:lpstr>'Пример расчета'!Область_печати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Inet</dc:creator>
  <cp:lastModifiedBy>Клыкова Екатерина Александровна</cp:lastModifiedBy>
  <cp:lastPrinted>2024-02-07T18:56:40Z</cp:lastPrinted>
  <dcterms:created xsi:type="dcterms:W3CDTF">2014-05-20T08:02:03Z</dcterms:created>
  <dcterms:modified xsi:type="dcterms:W3CDTF">2024-02-12T07:39:31Z</dcterms:modified>
</cp:coreProperties>
</file>